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129b1cc2e8908153/Polymath Finance/The Book/"/>
    </mc:Choice>
  </mc:AlternateContent>
  <xr:revisionPtr revIDLastSave="0" documentId="8_{F0F25185-EEE2-4859-8E21-BCF983DEBFF9}" xr6:coauthVersionLast="47" xr6:coauthVersionMax="47" xr10:uidLastSave="{00000000-0000-0000-0000-000000000000}"/>
  <bookViews>
    <workbookView xWindow="-120" yWindow="-120" windowWidth="29040" windowHeight="15720" activeTab="1" xr2:uid="{C15ED9E9-07A8-484D-B89C-E1692A78E1F0}"/>
  </bookViews>
  <sheets>
    <sheet name="Calculations&gt;&gt;&gt;" sheetId="1" r:id="rId1"/>
    <sheet name="# 1" sheetId="2" r:id="rId2"/>
    <sheet name="# 3" sheetId="3" r:id="rId3"/>
    <sheet name="# 4" sheetId="4" r:id="rId4"/>
    <sheet name="# 5" sheetId="5" r:id="rId5"/>
    <sheet name="# 6" sheetId="6" r:id="rId6"/>
    <sheet name="# 8" sheetId="7" r:id="rId7"/>
    <sheet name="# 9" sheetId="8" r:id="rId8"/>
    <sheet name="Tables &amp; Charts&gt;&gt;&gt;" sheetId="9" r:id="rId9"/>
    <sheet name="#  5" sheetId="10" r:id="rId10"/>
    <sheet name="2024 Tax Brackets" sheetId="11" r:id="rId11"/>
    <sheet name="Mapping" sheetId="12" state="hidden" r:id="rId12"/>
  </sheets>
  <definedNames>
    <definedName name="_xlnm._FilterDatabase" localSheetId="11" hidden="1">Mapping!$D$1:$D$20</definedName>
    <definedName name="ExternalData_1" localSheetId="6" hidden="1">'# 8'!#REF!</definedName>
    <definedName name="ExternalData_2" localSheetId="6" hidden="1">'# 8'!#REF!</definedName>
    <definedName name="ExternalData_3" localSheetId="6" hidden="1">'# 8'!#REF!</definedName>
    <definedName name="_xlnm.Print_Area" localSheetId="4">'# 5'!$A$1:$W$69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5" i="12"/>
  <c r="E36" i="11"/>
  <c r="H35" i="11"/>
  <c r="G35" i="11"/>
  <c r="E35" i="11"/>
  <c r="D29" i="11"/>
  <c r="E29" i="11" s="1"/>
  <c r="C29" i="11"/>
  <c r="C28" i="11"/>
  <c r="D28" i="11" s="1"/>
  <c r="E28" i="11" s="1"/>
  <c r="C27" i="11"/>
  <c r="D27" i="11" s="1"/>
  <c r="E27" i="11" s="1"/>
  <c r="C26" i="11"/>
  <c r="D26" i="11" s="1"/>
  <c r="D25" i="11"/>
  <c r="E25" i="11" s="1"/>
  <c r="C25" i="11"/>
  <c r="C24" i="11"/>
  <c r="D24" i="11" s="1"/>
  <c r="E24" i="11" s="1"/>
  <c r="C23" i="11"/>
  <c r="D23" i="11" s="1"/>
  <c r="E23" i="11" s="1"/>
  <c r="H20" i="8"/>
  <c r="H22" i="8" s="1"/>
  <c r="H24" i="8" s="1"/>
  <c r="H16" i="8"/>
  <c r="H18" i="8" s="1"/>
  <c r="C16" i="8"/>
  <c r="H11" i="8"/>
  <c r="C11" i="8"/>
  <c r="C13" i="8" s="1"/>
  <c r="C17" i="8" s="1"/>
  <c r="C18" i="8" s="1"/>
  <c r="H10" i="8"/>
  <c r="H12" i="8" s="1"/>
  <c r="C10" i="8"/>
  <c r="S44" i="7"/>
  <c r="S43" i="7"/>
  <c r="S42" i="7"/>
  <c r="P29" i="7"/>
  <c r="P28" i="7"/>
  <c r="P27" i="7"/>
  <c r="P26" i="7"/>
  <c r="P25" i="7"/>
  <c r="P24" i="7"/>
  <c r="P23" i="7"/>
  <c r="P22" i="7"/>
  <c r="P21" i="7"/>
  <c r="P20" i="7"/>
  <c r="P19" i="7"/>
  <c r="P18" i="7"/>
  <c r="P17" i="7"/>
  <c r="P16" i="7"/>
  <c r="P15" i="7"/>
  <c r="P14" i="7"/>
  <c r="P13" i="7"/>
  <c r="P12" i="7"/>
  <c r="P11" i="7"/>
  <c r="P10" i="7"/>
  <c r="P9" i="7"/>
  <c r="P8" i="7"/>
  <c r="H37" i="6"/>
  <c r="C37" i="6"/>
  <c r="M34" i="6"/>
  <c r="M37" i="6" s="1"/>
  <c r="M30" i="6"/>
  <c r="M26" i="6"/>
  <c r="M24" i="6"/>
  <c r="M18" i="6"/>
  <c r="H18" i="6"/>
  <c r="M12" i="6"/>
  <c r="H12" i="6"/>
  <c r="C12" i="6"/>
  <c r="H18" i="5"/>
  <c r="H16" i="5"/>
  <c r="H13" i="5"/>
  <c r="H15" i="5" s="1"/>
  <c r="C13" i="5"/>
  <c r="H11" i="5"/>
  <c r="H9" i="5"/>
  <c r="C9" i="5"/>
  <c r="C14" i="5" s="1"/>
  <c r="C15" i="5" s="1"/>
  <c r="H7" i="5"/>
  <c r="F11" i="4"/>
  <c r="C11" i="4"/>
  <c r="F10" i="4"/>
  <c r="C10" i="4"/>
  <c r="AI22" i="3"/>
  <c r="AI24" i="3" s="1"/>
  <c r="AF22" i="3"/>
  <c r="AF24" i="3" s="1"/>
  <c r="H20" i="3"/>
  <c r="AI17" i="3"/>
  <c r="AF17" i="3"/>
  <c r="M17" i="3"/>
  <c r="B17" i="3"/>
  <c r="AI16" i="3"/>
  <c r="AF16" i="3"/>
  <c r="Q16" i="3"/>
  <c r="Q17" i="3" s="1"/>
  <c r="Q18" i="3" s="1"/>
  <c r="Q19" i="3" s="1"/>
  <c r="Q20" i="3" s="1"/>
  <c r="Q21" i="3" s="1"/>
  <c r="Q22" i="3" s="1"/>
  <c r="Q23" i="3" s="1"/>
  <c r="Q25" i="3" s="1"/>
  <c r="Q26" i="3" s="1"/>
  <c r="Q27" i="3" s="1"/>
  <c r="Q28" i="3" s="1"/>
  <c r="Q29" i="3" s="1"/>
  <c r="Q30" i="3" s="1"/>
  <c r="Q31" i="3" s="1"/>
  <c r="Q32" i="3" s="1"/>
  <c r="Q33" i="3" s="1"/>
  <c r="Q34" i="3" s="1"/>
  <c r="Q35" i="3" s="1"/>
  <c r="Q36" i="3" s="1"/>
  <c r="Q38" i="3" s="1"/>
  <c r="Q39" i="3" s="1"/>
  <c r="Q40" i="3" s="1"/>
  <c r="Q41" i="3" s="1"/>
  <c r="Q42" i="3" s="1"/>
  <c r="Q43" i="3" s="1"/>
  <c r="Q44" i="3" s="1"/>
  <c r="Q45" i="3" s="1"/>
  <c r="Q46" i="3" s="1"/>
  <c r="Q47" i="3" s="1"/>
  <c r="Q48" i="3" s="1"/>
  <c r="Q49" i="3" s="1"/>
  <c r="Q51" i="3" s="1"/>
  <c r="Q52" i="3" s="1"/>
  <c r="Q53" i="3" s="1"/>
  <c r="Q54" i="3" s="1"/>
  <c r="Q55" i="3" s="1"/>
  <c r="Q56" i="3" s="1"/>
  <c r="Q57" i="3" s="1"/>
  <c r="Q58" i="3" s="1"/>
  <c r="Q59" i="3" s="1"/>
  <c r="Q60" i="3" s="1"/>
  <c r="Q61" i="3" s="1"/>
  <c r="Q62" i="3" s="1"/>
  <c r="Q64" i="3" s="1"/>
  <c r="Q65" i="3" s="1"/>
  <c r="Q66" i="3" s="1"/>
  <c r="Q67" i="3" s="1"/>
  <c r="Q68" i="3" s="1"/>
  <c r="Q69" i="3" s="1"/>
  <c r="Q70" i="3" s="1"/>
  <c r="Q71" i="3" s="1"/>
  <c r="Q72" i="3" s="1"/>
  <c r="Q73" i="3" s="1"/>
  <c r="Q74" i="3" s="1"/>
  <c r="Q75" i="3" s="1"/>
  <c r="Q15" i="3"/>
  <c r="C15" i="3"/>
  <c r="C17" i="3" s="1"/>
  <c r="C19" i="3" s="1"/>
  <c r="H17" i="3" s="1"/>
  <c r="H18" i="3" s="1"/>
  <c r="Q14" i="3"/>
  <c r="C14" i="3"/>
  <c r="W13" i="3"/>
  <c r="Q13" i="3"/>
  <c r="H13" i="3"/>
  <c r="T12" i="3"/>
  <c r="AA11" i="3"/>
  <c r="U11" i="3"/>
  <c r="M11" i="3"/>
  <c r="R7" i="3"/>
  <c r="R41" i="3" s="1"/>
  <c r="R6" i="3"/>
  <c r="X6" i="3" s="1"/>
  <c r="X7" i="3" s="1"/>
  <c r="X5" i="3"/>
  <c r="X4" i="3"/>
  <c r="G25" i="2"/>
  <c r="G27" i="2" s="1"/>
  <c r="F25" i="2"/>
  <c r="F27" i="2" s="1"/>
  <c r="E25" i="2"/>
  <c r="E27" i="2" s="1"/>
  <c r="H23" i="2"/>
  <c r="H25" i="2" s="1"/>
  <c r="H27" i="2" s="1"/>
  <c r="H14" i="2"/>
  <c r="G14" i="2"/>
  <c r="G13" i="2"/>
  <c r="H13" i="2" s="1"/>
  <c r="G12" i="2"/>
  <c r="H12" i="2" s="1"/>
  <c r="H11" i="2"/>
  <c r="G11" i="2"/>
  <c r="S10" i="2"/>
  <c r="G10" i="2"/>
  <c r="H10" i="2" s="1"/>
  <c r="S9" i="2"/>
  <c r="G9" i="2"/>
  <c r="H9" i="2" s="1"/>
  <c r="G8" i="2"/>
  <c r="H8" i="2" s="1"/>
  <c r="H15" i="2" s="1"/>
  <c r="S8" i="2" s="1"/>
  <c r="S11" i="2" s="1"/>
  <c r="X59" i="3" l="1"/>
  <c r="X53" i="3"/>
  <c r="X68" i="3"/>
  <c r="X69" i="3"/>
  <c r="X46" i="3"/>
  <c r="X40" i="3"/>
  <c r="X20" i="3"/>
  <c r="X17" i="3"/>
  <c r="X13" i="3"/>
  <c r="X61" i="3"/>
  <c r="X55" i="3"/>
  <c r="X62" i="3"/>
  <c r="X56" i="3"/>
  <c r="X33" i="3"/>
  <c r="X27" i="3"/>
  <c r="X65" i="3"/>
  <c r="X48" i="3"/>
  <c r="X42" i="3"/>
  <c r="X66" i="3"/>
  <c r="X49" i="3"/>
  <c r="X43" i="3"/>
  <c r="X18" i="3"/>
  <c r="X32" i="3"/>
  <c r="X54" i="3"/>
  <c r="X41" i="3"/>
  <c r="X39" i="3"/>
  <c r="X35" i="3"/>
  <c r="X24" i="3"/>
  <c r="Y24" i="3" s="1"/>
  <c r="X22" i="3"/>
  <c r="X14" i="3"/>
  <c r="X51" i="3"/>
  <c r="X19" i="3"/>
  <c r="X37" i="3"/>
  <c r="Y37" i="3" s="1"/>
  <c r="X30" i="3"/>
  <c r="X47" i="3"/>
  <c r="X58" i="3"/>
  <c r="X23" i="3"/>
  <c r="X57" i="3"/>
  <c r="X44" i="3"/>
  <c r="X29" i="3"/>
  <c r="X45" i="3"/>
  <c r="X25" i="3"/>
  <c r="X15" i="3"/>
  <c r="X63" i="3"/>
  <c r="Y63" i="3" s="1"/>
  <c r="X67" i="3"/>
  <c r="X64" i="3"/>
  <c r="X36" i="3"/>
  <c r="X28" i="3"/>
  <c r="X50" i="3"/>
  <c r="Y50" i="3" s="1"/>
  <c r="X12" i="3"/>
  <c r="X60" i="3"/>
  <c r="X38" i="3"/>
  <c r="X31" i="3"/>
  <c r="X52" i="3"/>
  <c r="X34" i="3"/>
  <c r="X26" i="3"/>
  <c r="X21" i="3"/>
  <c r="X16" i="3"/>
  <c r="H21" i="3"/>
  <c r="H22" i="3"/>
  <c r="C17" i="5"/>
  <c r="C19" i="5" s="1"/>
  <c r="C16" i="5"/>
  <c r="R40" i="3"/>
  <c r="R47" i="3"/>
  <c r="R25" i="3"/>
  <c r="R33" i="3"/>
  <c r="R64" i="3"/>
  <c r="R53" i="3"/>
  <c r="R70" i="3"/>
  <c r="R20" i="3"/>
  <c r="R23" i="3"/>
  <c r="R30" i="3"/>
  <c r="R43" i="3"/>
  <c r="R28" i="3"/>
  <c r="R74" i="3"/>
  <c r="R15" i="3"/>
  <c r="Z12" i="3"/>
  <c r="R19" i="3"/>
  <c r="R27" i="3"/>
  <c r="R51" i="3"/>
  <c r="R36" i="3"/>
  <c r="E26" i="11"/>
  <c r="E30" i="11" s="1"/>
  <c r="R22" i="3"/>
  <c r="R56" i="3"/>
  <c r="H17" i="5"/>
  <c r="H19" i="5" s="1"/>
  <c r="R75" i="3"/>
  <c r="R65" i="3"/>
  <c r="R48" i="3"/>
  <c r="R42" i="3"/>
  <c r="R71" i="3"/>
  <c r="R73" i="3"/>
  <c r="R58" i="3"/>
  <c r="R52" i="3"/>
  <c r="R35" i="3"/>
  <c r="R29" i="3"/>
  <c r="R67" i="3"/>
  <c r="R44" i="3"/>
  <c r="R68" i="3"/>
  <c r="R45" i="3"/>
  <c r="R39" i="3"/>
  <c r="R12" i="3"/>
  <c r="R60" i="3"/>
  <c r="R54" i="3"/>
  <c r="R61" i="3"/>
  <c r="R55" i="3"/>
  <c r="R32" i="3"/>
  <c r="R26" i="3"/>
  <c r="R21" i="3"/>
  <c r="R14" i="3"/>
  <c r="W14" i="3"/>
  <c r="W15" i="3" s="1"/>
  <c r="W16" i="3" s="1"/>
  <c r="W17" i="3" s="1"/>
  <c r="W18" i="3" s="1"/>
  <c r="W19" i="3" s="1"/>
  <c r="W20" i="3" s="1"/>
  <c r="W21" i="3" s="1"/>
  <c r="W22" i="3" s="1"/>
  <c r="W23" i="3" s="1"/>
  <c r="W25" i="3" s="1"/>
  <c r="W26" i="3" s="1"/>
  <c r="W27" i="3" s="1"/>
  <c r="W28" i="3" s="1"/>
  <c r="W29" i="3" s="1"/>
  <c r="W30" i="3" s="1"/>
  <c r="W31" i="3" s="1"/>
  <c r="W32" i="3" s="1"/>
  <c r="W33" i="3" s="1"/>
  <c r="W34" i="3" s="1"/>
  <c r="W35" i="3" s="1"/>
  <c r="W36" i="3" s="1"/>
  <c r="W38" i="3" s="1"/>
  <c r="W39" i="3" s="1"/>
  <c r="W40" i="3" s="1"/>
  <c r="W41" i="3" s="1"/>
  <c r="W42" i="3" s="1"/>
  <c r="W43" i="3" s="1"/>
  <c r="W44" i="3" s="1"/>
  <c r="W45" i="3" s="1"/>
  <c r="W46" i="3" s="1"/>
  <c r="W47" i="3" s="1"/>
  <c r="W48" i="3" s="1"/>
  <c r="W49" i="3" s="1"/>
  <c r="W51" i="3" s="1"/>
  <c r="W52" i="3" s="1"/>
  <c r="W53" i="3" s="1"/>
  <c r="W54" i="3" s="1"/>
  <c r="W55" i="3" s="1"/>
  <c r="W56" i="3" s="1"/>
  <c r="W57" i="3" s="1"/>
  <c r="W58" i="3" s="1"/>
  <c r="W59" i="3" s="1"/>
  <c r="W60" i="3" s="1"/>
  <c r="W61" i="3" s="1"/>
  <c r="W62" i="3" s="1"/>
  <c r="W64" i="3" s="1"/>
  <c r="W65" i="3" s="1"/>
  <c r="W66" i="3" s="1"/>
  <c r="W67" i="3" s="1"/>
  <c r="W68" i="3" s="1"/>
  <c r="W69" i="3" s="1"/>
  <c r="W70" i="3" s="1"/>
  <c r="R18" i="3"/>
  <c r="R46" i="3"/>
  <c r="R59" i="3"/>
  <c r="R62" i="3"/>
  <c r="R13" i="3"/>
  <c r="R16" i="3"/>
  <c r="M19" i="3"/>
  <c r="R34" i="3"/>
  <c r="R72" i="3"/>
  <c r="R17" i="3"/>
  <c r="R38" i="3"/>
  <c r="R49" i="3"/>
  <c r="R66" i="3"/>
  <c r="R31" i="3"/>
  <c r="R57" i="3"/>
  <c r="R69" i="3"/>
  <c r="E33" i="11" l="1"/>
  <c r="E37" i="11" s="1"/>
  <c r="E31" i="11"/>
  <c r="Y81" i="3"/>
  <c r="Y12" i="3"/>
  <c r="Y82" i="3"/>
  <c r="R77" i="3"/>
  <c r="S12" i="3"/>
  <c r="U12" i="3" l="1"/>
  <c r="AA12" i="3"/>
  <c r="T13" i="3" l="1"/>
  <c r="Z13" i="3"/>
  <c r="S13" i="3" l="1"/>
  <c r="Y13" i="3"/>
  <c r="AA13" i="3" l="1"/>
  <c r="U13" i="3"/>
  <c r="T14" i="3" l="1"/>
  <c r="Z14" i="3"/>
  <c r="Y14" i="3" l="1"/>
  <c r="S14" i="3"/>
  <c r="U14" i="3" l="1"/>
  <c r="AA14" i="3"/>
  <c r="Z15" i="3" l="1"/>
  <c r="T15" i="3"/>
  <c r="S15" i="3" l="1"/>
  <c r="Y15" i="3"/>
  <c r="AA15" i="3" l="1"/>
  <c r="U15" i="3"/>
  <c r="T16" i="3" l="1"/>
  <c r="S16" i="3" s="1"/>
  <c r="Z16" i="3"/>
  <c r="Y16" i="3" s="1"/>
  <c r="AA16" i="3" l="1"/>
  <c r="U16" i="3"/>
  <c r="T17" i="3" l="1"/>
  <c r="S17" i="3" s="1"/>
  <c r="U17" i="3" s="1"/>
  <c r="Z17" i="3"/>
  <c r="Y17" i="3" s="1"/>
  <c r="AA17" i="3" s="1"/>
  <c r="Z18" i="3" l="1"/>
  <c r="Y18" i="3" s="1"/>
  <c r="AA18" i="3" s="1"/>
  <c r="T18" i="3"/>
  <c r="S18" i="3" s="1"/>
  <c r="U18" i="3" s="1"/>
  <c r="T19" i="3" l="1"/>
  <c r="S19" i="3" s="1"/>
  <c r="U19" i="3" s="1"/>
  <c r="Z19" i="3"/>
  <c r="Y19" i="3" s="1"/>
  <c r="AA19" i="3" s="1"/>
  <c r="Z20" i="3" l="1"/>
  <c r="Y20" i="3" s="1"/>
  <c r="AA20" i="3" s="1"/>
  <c r="T20" i="3"/>
  <c r="S20" i="3" s="1"/>
  <c r="U20" i="3" s="1"/>
  <c r="T21" i="3" l="1"/>
  <c r="S21" i="3" s="1"/>
  <c r="U21" i="3" s="1"/>
  <c r="Z21" i="3"/>
  <c r="Y21" i="3" s="1"/>
  <c r="AA21" i="3" s="1"/>
  <c r="Z22" i="3" l="1"/>
  <c r="Y22" i="3" s="1"/>
  <c r="AA22" i="3"/>
  <c r="T22" i="3"/>
  <c r="S22" i="3" s="1"/>
  <c r="U22" i="3" s="1"/>
  <c r="T23" i="3" l="1"/>
  <c r="S23" i="3" s="1"/>
  <c r="U23" i="3" s="1"/>
  <c r="Z23" i="3"/>
  <c r="Y23" i="3" s="1"/>
  <c r="AA23" i="3"/>
  <c r="T25" i="3" l="1"/>
  <c r="S25" i="3" s="1"/>
  <c r="U25" i="3" s="1"/>
  <c r="AA24" i="3"/>
  <c r="Z25" i="3"/>
  <c r="Y25" i="3" s="1"/>
  <c r="T26" i="3" l="1"/>
  <c r="S26" i="3" s="1"/>
  <c r="U26" i="3" s="1"/>
  <c r="AA25" i="3"/>
  <c r="T27" i="3" l="1"/>
  <c r="S27" i="3" s="1"/>
  <c r="U27" i="3"/>
  <c r="Z26" i="3"/>
  <c r="Y26" i="3" s="1"/>
  <c r="AA26" i="3" s="1"/>
  <c r="Z27" i="3" l="1"/>
  <c r="Y27" i="3" s="1"/>
  <c r="AA27" i="3" s="1"/>
  <c r="T28" i="3"/>
  <c r="S28" i="3" s="1"/>
  <c r="U28" i="3" s="1"/>
  <c r="Z28" i="3" l="1"/>
  <c r="Y28" i="3" s="1"/>
  <c r="AA28" i="3"/>
  <c r="T29" i="3"/>
  <c r="S29" i="3" s="1"/>
  <c r="U29" i="3" s="1"/>
  <c r="T30" i="3" l="1"/>
  <c r="S30" i="3" s="1"/>
  <c r="U30" i="3"/>
  <c r="Z29" i="3"/>
  <c r="Y29" i="3" s="1"/>
  <c r="AA29" i="3" s="1"/>
  <c r="Z30" i="3" l="1"/>
  <c r="Y30" i="3" s="1"/>
  <c r="AA30" i="3" s="1"/>
  <c r="T31" i="3"/>
  <c r="S31" i="3" s="1"/>
  <c r="U31" i="3" s="1"/>
  <c r="T32" i="3" l="1"/>
  <c r="S32" i="3" s="1"/>
  <c r="U32" i="3" s="1"/>
  <c r="Z31" i="3"/>
  <c r="Y31" i="3" s="1"/>
  <c r="AA31" i="3" s="1"/>
  <c r="Z32" i="3" l="1"/>
  <c r="Y32" i="3" s="1"/>
  <c r="AA32" i="3"/>
  <c r="T33" i="3"/>
  <c r="S33" i="3" s="1"/>
  <c r="U33" i="3" s="1"/>
  <c r="T34" i="3" l="1"/>
  <c r="S34" i="3" s="1"/>
  <c r="U34" i="3"/>
  <c r="Z33" i="3"/>
  <c r="Y33" i="3" s="1"/>
  <c r="AA33" i="3" s="1"/>
  <c r="Z34" i="3" l="1"/>
  <c r="Y34" i="3" s="1"/>
  <c r="AA34" i="3"/>
  <c r="T35" i="3"/>
  <c r="S35" i="3" s="1"/>
  <c r="U35" i="3" s="1"/>
  <c r="T36" i="3" l="1"/>
  <c r="S36" i="3" s="1"/>
  <c r="U36" i="3"/>
  <c r="Z35" i="3"/>
  <c r="Y35" i="3" s="1"/>
  <c r="AA35" i="3" s="1"/>
  <c r="Z36" i="3" l="1"/>
  <c r="Y36" i="3" s="1"/>
  <c r="AA36" i="3" s="1"/>
  <c r="T38" i="3"/>
  <c r="S38" i="3" s="1"/>
  <c r="U38" i="3" s="1"/>
  <c r="T39" i="3" l="1"/>
  <c r="S39" i="3" s="1"/>
  <c r="U39" i="3" s="1"/>
  <c r="AA37" i="3"/>
  <c r="Z38" i="3"/>
  <c r="Y38" i="3" s="1"/>
  <c r="T40" i="3" l="1"/>
  <c r="S40" i="3" s="1"/>
  <c r="U40" i="3" s="1"/>
  <c r="AA38" i="3"/>
  <c r="T41" i="3" l="1"/>
  <c r="S41" i="3" s="1"/>
  <c r="U41" i="3" s="1"/>
  <c r="Z39" i="3"/>
  <c r="Y39" i="3" s="1"/>
  <c r="AA39" i="3" s="1"/>
  <c r="Z40" i="3" l="1"/>
  <c r="Y40" i="3" s="1"/>
  <c r="AA40" i="3" s="1"/>
  <c r="T42" i="3"/>
  <c r="S42" i="3" s="1"/>
  <c r="U42" i="3" s="1"/>
  <c r="T43" i="3" l="1"/>
  <c r="S43" i="3" s="1"/>
  <c r="U43" i="3"/>
  <c r="Z41" i="3"/>
  <c r="Y41" i="3" s="1"/>
  <c r="AA41" i="3"/>
  <c r="Z42" i="3" l="1"/>
  <c r="Y42" i="3" s="1"/>
  <c r="AA42" i="3" s="1"/>
  <c r="T44" i="3"/>
  <c r="S44" i="3" s="1"/>
  <c r="U44" i="3" s="1"/>
  <c r="T45" i="3" l="1"/>
  <c r="S45" i="3" s="1"/>
  <c r="U45" i="3" s="1"/>
  <c r="Z43" i="3"/>
  <c r="Y43" i="3" s="1"/>
  <c r="AA43" i="3" s="1"/>
  <c r="Z44" i="3" l="1"/>
  <c r="Y44" i="3" s="1"/>
  <c r="AA44" i="3"/>
  <c r="T46" i="3"/>
  <c r="S46" i="3" s="1"/>
  <c r="U46" i="3"/>
  <c r="T47" i="3" l="1"/>
  <c r="S47" i="3" s="1"/>
  <c r="U47" i="3" s="1"/>
  <c r="Z45" i="3"/>
  <c r="Y45" i="3" s="1"/>
  <c r="AA45" i="3" s="1"/>
  <c r="Z46" i="3" l="1"/>
  <c r="Y46" i="3" s="1"/>
  <c r="AA46" i="3" s="1"/>
  <c r="T48" i="3"/>
  <c r="S48" i="3" s="1"/>
  <c r="U48" i="3" s="1"/>
  <c r="T49" i="3" l="1"/>
  <c r="S49" i="3" s="1"/>
  <c r="U49" i="3"/>
  <c r="Z47" i="3"/>
  <c r="Y47" i="3" s="1"/>
  <c r="AA47" i="3"/>
  <c r="Z48" i="3" l="1"/>
  <c r="Y48" i="3" s="1"/>
  <c r="AA48" i="3" s="1"/>
  <c r="T51" i="3"/>
  <c r="S51" i="3" s="1"/>
  <c r="U51" i="3" s="1"/>
  <c r="T52" i="3" l="1"/>
  <c r="S52" i="3" s="1"/>
  <c r="U52" i="3" s="1"/>
  <c r="Z49" i="3"/>
  <c r="Y49" i="3" s="1"/>
  <c r="AA49" i="3" s="1"/>
  <c r="AA50" i="3" l="1"/>
  <c r="Z51" i="3"/>
  <c r="Y51" i="3" s="1"/>
  <c r="T53" i="3"/>
  <c r="S53" i="3" s="1"/>
  <c r="U53" i="3" s="1"/>
  <c r="T54" i="3" l="1"/>
  <c r="S54" i="3" s="1"/>
  <c r="U54" i="3" s="1"/>
  <c r="AA51" i="3"/>
  <c r="T55" i="3" l="1"/>
  <c r="S55" i="3" s="1"/>
  <c r="U55" i="3" s="1"/>
  <c r="Z52" i="3"/>
  <c r="Y52" i="3" s="1"/>
  <c r="AA52" i="3" s="1"/>
  <c r="T56" i="3" l="1"/>
  <c r="S56" i="3" s="1"/>
  <c r="U56" i="3"/>
  <c r="Z53" i="3"/>
  <c r="Y53" i="3" s="1"/>
  <c r="AA53" i="3" s="1"/>
  <c r="Z54" i="3" l="1"/>
  <c r="Y54" i="3" s="1"/>
  <c r="AA54" i="3"/>
  <c r="T57" i="3"/>
  <c r="S57" i="3" s="1"/>
  <c r="U57" i="3" s="1"/>
  <c r="T58" i="3" l="1"/>
  <c r="S58" i="3" s="1"/>
  <c r="U58" i="3" s="1"/>
  <c r="Z55" i="3"/>
  <c r="Y55" i="3" s="1"/>
  <c r="AA55" i="3" s="1"/>
  <c r="Z56" i="3" l="1"/>
  <c r="Y56" i="3" s="1"/>
  <c r="AA56" i="3" s="1"/>
  <c r="T59" i="3"/>
  <c r="S59" i="3" s="1"/>
  <c r="U59" i="3"/>
  <c r="Z57" i="3" l="1"/>
  <c r="Y57" i="3" s="1"/>
  <c r="AA57" i="3" s="1"/>
  <c r="T60" i="3"/>
  <c r="S60" i="3" s="1"/>
  <c r="U60" i="3" s="1"/>
  <c r="U61" i="3" l="1"/>
  <c r="T61" i="3"/>
  <c r="S61" i="3" s="1"/>
  <c r="Z58" i="3"/>
  <c r="Y58" i="3" s="1"/>
  <c r="AA58" i="3" s="1"/>
  <c r="Z59" i="3" l="1"/>
  <c r="Y59" i="3" s="1"/>
  <c r="AA59" i="3" s="1"/>
  <c r="T62" i="3"/>
  <c r="S62" i="3" s="1"/>
  <c r="U62" i="3"/>
  <c r="Z60" i="3" l="1"/>
  <c r="Y60" i="3" s="1"/>
  <c r="AA60" i="3"/>
  <c r="T64" i="3"/>
  <c r="S64" i="3" s="1"/>
  <c r="U64" i="3" s="1"/>
  <c r="T65" i="3" l="1"/>
  <c r="S65" i="3" s="1"/>
  <c r="U65" i="3" s="1"/>
  <c r="Z61" i="3"/>
  <c r="Y61" i="3" s="1"/>
  <c r="AA61" i="3" s="1"/>
  <c r="Z62" i="3" l="1"/>
  <c r="Y62" i="3" s="1"/>
  <c r="AA62" i="3" s="1"/>
  <c r="T66" i="3"/>
  <c r="S66" i="3" s="1"/>
  <c r="U66" i="3"/>
  <c r="AA63" i="3" l="1"/>
  <c r="Z64" i="3"/>
  <c r="Y64" i="3" s="1"/>
  <c r="T67" i="3"/>
  <c r="S67" i="3" s="1"/>
  <c r="U67" i="3" s="1"/>
  <c r="U68" i="3" l="1"/>
  <c r="T68" i="3"/>
  <c r="S68" i="3" s="1"/>
  <c r="AA64" i="3"/>
  <c r="Z65" i="3" l="1"/>
  <c r="Y65" i="3" s="1"/>
  <c r="AA65" i="3" s="1"/>
  <c r="T69" i="3"/>
  <c r="S69" i="3" s="1"/>
  <c r="U69" i="3"/>
  <c r="Z66" i="3" l="1"/>
  <c r="Y66" i="3" s="1"/>
  <c r="AA66" i="3" s="1"/>
  <c r="T70" i="3"/>
  <c r="S70" i="3" s="1"/>
  <c r="U70" i="3" s="1"/>
  <c r="T71" i="3" l="1"/>
  <c r="S71" i="3" s="1"/>
  <c r="U71" i="3" s="1"/>
  <c r="Z67" i="3"/>
  <c r="Y67" i="3" s="1"/>
  <c r="AA67" i="3" s="1"/>
  <c r="Z68" i="3" l="1"/>
  <c r="Y68" i="3" s="1"/>
  <c r="AA68" i="3" s="1"/>
  <c r="T72" i="3"/>
  <c r="S72" i="3" s="1"/>
  <c r="U72" i="3" s="1"/>
  <c r="T73" i="3" l="1"/>
  <c r="S73" i="3" s="1"/>
  <c r="U73" i="3" s="1"/>
  <c r="Z69" i="3"/>
  <c r="T74" i="3" l="1"/>
  <c r="S74" i="3" s="1"/>
  <c r="U74" i="3" s="1"/>
  <c r="Y69" i="3"/>
  <c r="AA69" i="3" s="1"/>
  <c r="Z77" i="3"/>
  <c r="T75" i="3" l="1"/>
  <c r="X70" i="3"/>
  <c r="Y70" i="3" l="1"/>
  <c r="X77" i="3"/>
  <c r="S75" i="3"/>
  <c r="T77" i="3"/>
  <c r="Y83" i="3" s="1"/>
  <c r="S77" i="3" l="1"/>
  <c r="U75" i="3"/>
  <c r="Y77" i="3"/>
  <c r="AA7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tc={FC45A925-CEB7-44DD-8D18-048D1A6683BE}</author>
  </authors>
  <commentList>
    <comment ref="B34" authorId="0" shapeId="0" xr:uid="{FC45A925-CEB7-44DD-8D18-048D1A6683BE}">
      <text>
        <t>[Threaded comment]
Your version of Excel allows you to read this threaded comment; however, any edits to it will get removed if the file is opened in a newer version of Excel. Learn more: https://go.microsoft.com/fwlink/?linkid=870924
Comment:
    We are working on a dynamic schedule for state taxes. Until then, please use this website as a resource for your state taxes and input the tax amount into the green cell.</t>
      </text>
    </comment>
  </commentList>
</comments>
</file>

<file path=xl/sharedStrings.xml><?xml version="1.0" encoding="utf-8"?>
<sst xmlns="http://schemas.openxmlformats.org/spreadsheetml/2006/main" count="979" uniqueCount="384">
  <si>
    <t>The Budget</t>
  </si>
  <si>
    <r>
      <rPr>
        <b/>
        <u val="singleAccounting"/>
        <sz val="11"/>
        <rFont val="Aptos Narrow"/>
        <family val="2"/>
        <scheme val="minor"/>
      </rPr>
      <t>Step 1</t>
    </r>
    <r>
      <rPr>
        <b/>
        <sz val="11"/>
        <rFont val="Aptos Narrow"/>
        <family val="2"/>
        <scheme val="minor"/>
      </rPr>
      <t>: Calculate Net Income per Month</t>
    </r>
  </si>
  <si>
    <r>
      <rPr>
        <b/>
        <u val="singleAccounting"/>
        <sz val="11"/>
        <rFont val="Aptos Narrow"/>
        <family val="2"/>
        <scheme val="minor"/>
      </rPr>
      <t>Step 2</t>
    </r>
    <r>
      <rPr>
        <b/>
        <sz val="11"/>
        <rFont val="Aptos Narrow"/>
        <family val="2"/>
        <scheme val="minor"/>
      </rPr>
      <t>: Aggregating Monthly Expenses- Fixed Costs vs. Variable Costs</t>
    </r>
  </si>
  <si>
    <r>
      <rPr>
        <b/>
        <u val="singleAccounting"/>
        <sz val="11"/>
        <rFont val="Aptos Narrow"/>
        <family val="2"/>
        <scheme val="minor"/>
      </rPr>
      <t>Step 3</t>
    </r>
    <r>
      <rPr>
        <b/>
        <sz val="11"/>
        <rFont val="Aptos Narrow"/>
        <family val="2"/>
        <scheme val="minor"/>
      </rPr>
      <t>: Calculate Net Profit per Month</t>
    </r>
  </si>
  <si>
    <r>
      <rPr>
        <b/>
        <u/>
        <sz val="11"/>
        <color rgb="FFC00000"/>
        <rFont val="Aptos Narrow"/>
        <family val="2"/>
        <scheme val="minor"/>
      </rPr>
      <t>OPTION 1:</t>
    </r>
    <r>
      <rPr>
        <b/>
        <sz val="11"/>
        <color rgb="FFC00000"/>
        <rFont val="Aptos Narrow"/>
        <family val="2"/>
        <scheme val="minor"/>
      </rPr>
      <t xml:space="preserve">
You know the Net Amount of your payments</t>
    </r>
  </si>
  <si>
    <t>Type of Income</t>
  </si>
  <si>
    <t>Frequency</t>
  </si>
  <si>
    <t>Payment Amount</t>
  </si>
  <si>
    <t>Payments per Month</t>
  </si>
  <si>
    <t>Monthly Income</t>
  </si>
  <si>
    <t>Essentials - Needs</t>
  </si>
  <si>
    <t>Non-Essentials - Wants</t>
  </si>
  <si>
    <t>Monthly Budget</t>
  </si>
  <si>
    <t>Salary</t>
  </si>
  <si>
    <t>Once per month</t>
  </si>
  <si>
    <t>Mortgage/Rent</t>
  </si>
  <si>
    <t>Subscriptions</t>
  </si>
  <si>
    <t>Net Income</t>
  </si>
  <si>
    <t>Utilities - Gas</t>
  </si>
  <si>
    <t>Restaurants</t>
  </si>
  <si>
    <t>Essentials</t>
  </si>
  <si>
    <t>Utilities - Electric</t>
  </si>
  <si>
    <t>Bar / Drinks</t>
  </si>
  <si>
    <t>Non-Essentials</t>
  </si>
  <si>
    <t>Utilities - Water</t>
  </si>
  <si>
    <t>Lunch</t>
  </si>
  <si>
    <t>Net Profit</t>
  </si>
  <si>
    <t>Groceries</t>
  </si>
  <si>
    <t>Coffee</t>
  </si>
  <si>
    <t>Car Payment</t>
  </si>
  <si>
    <t>Alcohol</t>
  </si>
  <si>
    <t>Car Insurance</t>
  </si>
  <si>
    <t>Gym Membership</t>
  </si>
  <si>
    <t>Total Income</t>
  </si>
  <si>
    <t>Public Transportation</t>
  </si>
  <si>
    <t>Magazines/Newspaper</t>
  </si>
  <si>
    <t>Credit Card Payments</t>
  </si>
  <si>
    <t>Shopping</t>
  </si>
  <si>
    <t>Instructions:</t>
  </si>
  <si>
    <t>Life Insurance</t>
  </si>
  <si>
    <t>Hobbies</t>
  </si>
  <si>
    <t>Pick your Frequency from the dropdown</t>
  </si>
  <si>
    <t>Disability Insurance</t>
  </si>
  <si>
    <t>Type in your Paycheck Amount</t>
  </si>
  <si>
    <t>Phone Bill</t>
  </si>
  <si>
    <t>The rest of the cells are formulaic</t>
  </si>
  <si>
    <t>Wi-Fi</t>
  </si>
  <si>
    <t>Cable</t>
  </si>
  <si>
    <t>Total</t>
  </si>
  <si>
    <t>Childcare</t>
  </si>
  <si>
    <r>
      <rPr>
        <b/>
        <u/>
        <sz val="11"/>
        <color rgb="FFC00000"/>
        <rFont val="Aptos Narrow"/>
        <family val="2"/>
        <scheme val="minor"/>
      </rPr>
      <t>OPTION 2:</t>
    </r>
    <r>
      <rPr>
        <b/>
        <sz val="11"/>
        <color rgb="FFC00000"/>
        <rFont val="Aptos Narrow"/>
        <family val="2"/>
        <scheme val="minor"/>
      </rPr>
      <t xml:space="preserve">
You know the Gross Amount of your payments</t>
    </r>
  </si>
  <si>
    <t>Gross Amount</t>
  </si>
  <si>
    <t>Student Loans</t>
  </si>
  <si>
    <t>Estimated Taxes/Deductions</t>
  </si>
  <si>
    <t>Net Salary</t>
  </si>
  <si>
    <t>Months</t>
  </si>
  <si>
    <t>Monthly Net Income</t>
  </si>
  <si>
    <t>Type in your Gross Salary</t>
  </si>
  <si>
    <t>Fill all the cells that pertain to your expenses - some of these won't apply to you</t>
  </si>
  <si>
    <t>Completely formulaic - DO NOT TOUCH</t>
  </si>
  <si>
    <t>Option 1 - Type in your Estimated Taxes/Deductions percentage - use 30% if you don't have a better number</t>
  </si>
  <si>
    <t>You can change any expense type you like</t>
  </si>
  <si>
    <t>Option 2 - Use the Estimated Tax Calculator (THIS IS JUST AN ESTIMATE)</t>
  </si>
  <si>
    <t>Calculation #1</t>
  </si>
  <si>
    <t>Calculation #2</t>
  </si>
  <si>
    <t>Calculation #3</t>
  </si>
  <si>
    <t>Calculation #4</t>
  </si>
  <si>
    <t>Calculation #5</t>
  </si>
  <si>
    <t>Loan Amount</t>
  </si>
  <si>
    <t>Interest Rate</t>
  </si>
  <si>
    <t>Total Months</t>
  </si>
  <si>
    <t>Monthly Payment</t>
  </si>
  <si>
    <t>Traditional Payment Schedule</t>
  </si>
  <si>
    <t>Payment Schedule with One Additional Payment Made</t>
  </si>
  <si>
    <t>Payment Date</t>
  </si>
  <si>
    <t>Payment</t>
  </si>
  <si>
    <t>Principal</t>
  </si>
  <si>
    <t>Interest</t>
  </si>
  <si>
    <t>Remaining Balance</t>
  </si>
  <si>
    <t>APR - Annual Percentage Rate</t>
  </si>
  <si>
    <t>Outstanding Credit Card Balance</t>
  </si>
  <si>
    <t>Annual Credit Card Interest Accrued</t>
  </si>
  <si>
    <r>
      <rPr>
        <u/>
        <sz val="11"/>
        <color theme="1"/>
        <rFont val="Aptos Narrow"/>
        <family val="2"/>
        <scheme val="minor"/>
      </rPr>
      <t>Scenario #1</t>
    </r>
    <r>
      <rPr>
        <sz val="11"/>
        <color theme="1"/>
        <rFont val="Aptos Narrow"/>
        <family val="2"/>
        <scheme val="minor"/>
      </rPr>
      <t xml:space="preserve">: Investment Return is </t>
    </r>
    <r>
      <rPr>
        <b/>
        <u/>
        <sz val="11"/>
        <color theme="1"/>
        <rFont val="Aptos Narrow"/>
        <family val="2"/>
        <scheme val="minor"/>
      </rPr>
      <t>greater</t>
    </r>
    <r>
      <rPr>
        <sz val="11"/>
        <color theme="1"/>
        <rFont val="Aptos Narrow"/>
        <family val="2"/>
        <scheme val="minor"/>
      </rPr>
      <t xml:space="preserve"> than Interest Rate</t>
    </r>
  </si>
  <si>
    <r>
      <rPr>
        <u/>
        <sz val="11"/>
        <color theme="1"/>
        <rFont val="Aptos Narrow"/>
        <family val="2"/>
        <scheme val="minor"/>
      </rPr>
      <t>Scenario #2</t>
    </r>
    <r>
      <rPr>
        <sz val="11"/>
        <color theme="1"/>
        <rFont val="Aptos Narrow"/>
        <family val="2"/>
        <scheme val="minor"/>
      </rPr>
      <t xml:space="preserve">: Investment Return is </t>
    </r>
    <r>
      <rPr>
        <b/>
        <u/>
        <sz val="11"/>
        <color theme="1"/>
        <rFont val="Aptos Narrow"/>
        <family val="2"/>
        <scheme val="minor"/>
      </rPr>
      <t>lower</t>
    </r>
    <r>
      <rPr>
        <sz val="11"/>
        <color theme="1"/>
        <rFont val="Aptos Narrow"/>
        <family val="2"/>
        <scheme val="minor"/>
      </rPr>
      <t xml:space="preserve"> than Interest Rate</t>
    </r>
  </si>
  <si>
    <t>Payment Towards Balance</t>
  </si>
  <si>
    <t>See Calculation #1 For Interest Charged to Credit Cards</t>
  </si>
  <si>
    <t>Expected Remaining Balance</t>
  </si>
  <si>
    <t>APR</t>
  </si>
  <si>
    <t>Annual Interest Earned on Investment</t>
  </si>
  <si>
    <t>Annual Interest Charged</t>
  </si>
  <si>
    <t>Amount of Investment</t>
  </si>
  <si>
    <t>Outstanding Loan Balance</t>
  </si>
  <si>
    <t>Annual Rate of Return**</t>
  </si>
  <si>
    <t>Monthly Interest Charged</t>
  </si>
  <si>
    <t>Annual Interest Earned</t>
  </si>
  <si>
    <t>Divide by 12 Months</t>
  </si>
  <si>
    <t>Actual Remaining Balance</t>
  </si>
  <si>
    <t>Difference</t>
  </si>
  <si>
    <t>**Based on the average returns from an S&amp;P 500 index fund; this is not guaranteed</t>
  </si>
  <si>
    <t>Difference in Remaining Balance</t>
  </si>
  <si>
    <t>ADDITIONAL PAYMENT</t>
  </si>
  <si>
    <t>Additonal Payments Made</t>
  </si>
  <si>
    <t>Months Shaved Off Payment</t>
  </si>
  <si>
    <t>Interest Saved</t>
  </si>
  <si>
    <t>High-Yield Savings Account</t>
  </si>
  <si>
    <t>Traditional Savings Account</t>
  </si>
  <si>
    <t>Annual Percentage Yield</t>
  </si>
  <si>
    <t>Savings Balance</t>
  </si>
  <si>
    <t>Traditional IRA</t>
  </si>
  <si>
    <t>Roth IRA</t>
  </si>
  <si>
    <t>Annual Income</t>
  </si>
  <si>
    <t>Contribution Percentage</t>
  </si>
  <si>
    <t>Contribution Amount</t>
  </si>
  <si>
    <t>Tax Rate</t>
  </si>
  <si>
    <t>Income</t>
  </si>
  <si>
    <t>Contribution Amount (Pre-Tax)</t>
  </si>
  <si>
    <t>Income After Contributions</t>
  </si>
  <si>
    <t>Taxes Paid</t>
  </si>
  <si>
    <t>Income After Taxes</t>
  </si>
  <si>
    <t>Contribution Amount (Post-Tax)</t>
  </si>
  <si>
    <t>Step 1 -&gt; Total Outstanding Payments</t>
  </si>
  <si>
    <t>Tips:</t>
  </si>
  <si>
    <t>Feel free to modify this to your needs.</t>
  </si>
  <si>
    <t>Funeral Expenses</t>
  </si>
  <si>
    <t>The cells in orange are formulaic so you do not have to change those.</t>
  </si>
  <si>
    <t>Remaining Mortgage</t>
  </si>
  <si>
    <t>Remaining Car Payments</t>
  </si>
  <si>
    <t>Credit Card Debt</t>
  </si>
  <si>
    <t xml:space="preserve">Total Amount </t>
  </si>
  <si>
    <t>Step 2 -&gt; Include Future Earnings</t>
  </si>
  <si>
    <t>Years Needed</t>
  </si>
  <si>
    <t>Total Replacement Income</t>
  </si>
  <si>
    <t>Step 3 -&gt; Include Future Financial Goals</t>
  </si>
  <si>
    <t>Expected Cost of College per Year</t>
  </si>
  <si>
    <t>Years of College</t>
  </si>
  <si>
    <t>Cost of College</t>
  </si>
  <si>
    <t>Number of Children</t>
  </si>
  <si>
    <t>Total Cost of College</t>
  </si>
  <si>
    <t>Average Cost of Weddings</t>
  </si>
  <si>
    <t>Total Cost of Weddings</t>
  </si>
  <si>
    <t>Annual Retirement Contribution</t>
  </si>
  <si>
    <t>Years Until Retired</t>
  </si>
  <si>
    <t>Total Cost of Retirement Contributions</t>
  </si>
  <si>
    <t>Total Insurance Needed</t>
  </si>
  <si>
    <t>Guaranteed</t>
  </si>
  <si>
    <t>Non-Guaranteed</t>
  </si>
  <si>
    <t>Base</t>
  </si>
  <si>
    <t>Increase In</t>
  </si>
  <si>
    <t>Net</t>
  </si>
  <si>
    <t>Contract</t>
  </si>
  <si>
    <t>Cash</t>
  </si>
  <si>
    <t>Total Cash</t>
  </si>
  <si>
    <t>Death</t>
  </si>
  <si>
    <t>Premium</t>
  </si>
  <si>
    <t>Year</t>
  </si>
  <si>
    <t>Age</t>
  </si>
  <si>
    <t>Value</t>
  </si>
  <si>
    <t>Benefit</t>
  </si>
  <si>
    <t>Dividend</t>
  </si>
  <si>
    <t>Paid</t>
  </si>
  <si>
    <t>In Year 23, your dividend will fully cover your premium.</t>
  </si>
  <si>
    <t>Total Cash Value</t>
  </si>
  <si>
    <t>Total Death Benefit</t>
  </si>
  <si>
    <t>Excess Cash Value</t>
  </si>
  <si>
    <t>Cost of House</t>
  </si>
  <si>
    <t>Down Payment</t>
  </si>
  <si>
    <t>Closing Costs</t>
  </si>
  <si>
    <t>Actual Costs</t>
  </si>
  <si>
    <t>Updates</t>
  </si>
  <si>
    <t>Rental Income</t>
  </si>
  <si>
    <t>Sale Price</t>
  </si>
  <si>
    <t>Original Price</t>
  </si>
  <si>
    <t>Monthly Profit</t>
  </si>
  <si>
    <t>Months per Year</t>
  </si>
  <si>
    <t>Annual Profit</t>
  </si>
  <si>
    <t>Expected Maintenance Costs</t>
  </si>
  <si>
    <t>Actual Net Profit</t>
  </si>
  <si>
    <t>Guideline #5</t>
  </si>
  <si>
    <t>Want to see it in a clean table?</t>
  </si>
  <si>
    <t>Traditional IRA vs. Roth IRA</t>
  </si>
  <si>
    <t>Feature</t>
  </si>
  <si>
    <t>Contribution Type</t>
  </si>
  <si>
    <t>After-tax</t>
  </si>
  <si>
    <t>Pre-tax (often tax-deductible)</t>
  </si>
  <si>
    <t>Contribution Limits (2024)</t>
  </si>
  <si>
    <t>$7,000 (under 50), $8,000 (50 and older)</t>
  </si>
  <si>
    <t>Tax Treatment on Contributions</t>
  </si>
  <si>
    <t>No immediate tax benefit</t>
  </si>
  <si>
    <t>Contributions may be tax-deductible</t>
  </si>
  <si>
    <t>Tax Treatment on Withdrawals</t>
  </si>
  <si>
    <t>Qualified withdrawals are tax-free</t>
  </si>
  <si>
    <t>Withdrawals taxed as ordinary income</t>
  </si>
  <si>
    <t>Eligibility Requirements</t>
  </si>
  <si>
    <t>Income limits apply: $138,000 for Single Filers | $218,000 for Joint Filers</t>
  </si>
  <si>
    <t>No income limits for contributions, but deductions may phase out at higher incomes if covered by a retirement plan at work</t>
  </si>
  <si>
    <t>Age Limit for Contributions</t>
  </si>
  <si>
    <t>No age limit</t>
  </si>
  <si>
    <t>Required Minimum Distributions (RMDs)</t>
  </si>
  <si>
    <t>No RMDs during the account holder's lifetime</t>
  </si>
  <si>
    <t>RMDs start at age 73</t>
  </si>
  <si>
    <t>Early Withdrawal Penalties</t>
  </si>
  <si>
    <t>Contributions can be withdrawn any time without penalties; earnings may be subject to taxes and penalties if withdrawn before age 59½</t>
  </si>
  <si>
    <t>Withdrawals before age 59½ may incur a 10% penalty plus taxes</t>
  </si>
  <si>
    <t>Qualified Withdrawals</t>
  </si>
  <si>
    <t>Earnings can be withdrawn tax-free if account is at least 5 years old and the account holder is 59½ or older</t>
  </si>
  <si>
    <t>None</t>
  </si>
  <si>
    <t>Disclaimer:</t>
  </si>
  <si>
    <t>This is meant to demonstrate how your taxes are being calculated and is not meant to be used for IRS purposes. Polymath Finance is not providing an actual tax amount and takes no ownership over these figures. Please consult a tax professional to file your taxes accordingly.</t>
  </si>
  <si>
    <t>2024 Tax Brackets</t>
  </si>
  <si>
    <t>Tax rate</t>
  </si>
  <si>
    <t>Single</t>
  </si>
  <si>
    <t>Married filing jointly</t>
  </si>
  <si>
    <t>Married filing separately</t>
  </si>
  <si>
    <t>Head of household</t>
  </si>
  <si>
    <t>$0 to $11,600</t>
  </si>
  <si>
    <t>$0 to $23,200</t>
  </si>
  <si>
    <t>$0 to $16,550</t>
  </si>
  <si>
    <t>$11,601 to $47,150</t>
  </si>
  <si>
    <t>$23,201 to $94,300</t>
  </si>
  <si>
    <t>$16,551 to $63,100</t>
  </si>
  <si>
    <t>$47,151 to $100,525</t>
  </si>
  <si>
    <t>$94,301 to $201,050</t>
  </si>
  <si>
    <t>$63,101 to $100,500</t>
  </si>
  <si>
    <t>$100,526 to $191,950</t>
  </si>
  <si>
    <t>$201,051 to $383,900</t>
  </si>
  <si>
    <t>$100,501 to $191,950</t>
  </si>
  <si>
    <t>$191,951 to $243,725</t>
  </si>
  <si>
    <t>$383,901 to $487,450</t>
  </si>
  <si>
    <t>$191,951 to $243,700</t>
  </si>
  <si>
    <t>$243,726 to $609,350</t>
  </si>
  <si>
    <t>$487,451 to $731,200</t>
  </si>
  <si>
    <t>$243,726 to $365,600</t>
  </si>
  <si>
    <t>$243,701 to $609,350</t>
  </si>
  <si>
    <t>$609,351 or more</t>
  </si>
  <si>
    <t>$731,201 or more</t>
  </si>
  <si>
    <t>$365,601 or more</t>
  </si>
  <si>
    <t>$609,350 or more</t>
  </si>
  <si>
    <t>To calculate your own Federal taxes</t>
  </si>
  <si>
    <t>Salary per Bracket</t>
  </si>
  <si>
    <t>Taxes per Bracket</t>
  </si>
  <si>
    <t>Federal Taxes</t>
  </si>
  <si>
    <t>Marginal Tax Rate</t>
  </si>
  <si>
    <t>State Taxes</t>
  </si>
  <si>
    <t>Employed</t>
  </si>
  <si>
    <t>Self-Employed</t>
  </si>
  <si>
    <t>Social Security Tax</t>
  </si>
  <si>
    <t>Medicare Tax</t>
  </si>
  <si>
    <t>Example of Taxes Owed</t>
  </si>
  <si>
    <t>Single Filer</t>
  </si>
  <si>
    <t>Married Filing Jointly</t>
  </si>
  <si>
    <t>Standard Deduction</t>
  </si>
  <si>
    <t>Personal Exemption</t>
  </si>
  <si>
    <t>Twice per month</t>
  </si>
  <si>
    <t>1099 Income</t>
  </si>
  <si>
    <t>State</t>
  </si>
  <si>
    <t>Rates</t>
  </si>
  <si>
    <t>Brackets</t>
  </si>
  <si>
    <t>Couple</t>
  </si>
  <si>
    <t>Dependent</t>
  </si>
  <si>
    <t>Every 2 weeks</t>
  </si>
  <si>
    <t>401k Distributions</t>
  </si>
  <si>
    <t>Ala.</t>
  </si>
  <si>
    <t>&gt;</t>
  </si>
  <si>
    <t>Every Week</t>
  </si>
  <si>
    <t>Alimony</t>
  </si>
  <si>
    <t>(a, b, c)</t>
  </si>
  <si>
    <t>Quarterly</t>
  </si>
  <si>
    <t>Annuity Distrubitions</t>
  </si>
  <si>
    <t>Annual</t>
  </si>
  <si>
    <t>Bonus</t>
  </si>
  <si>
    <t>Business Income</t>
  </si>
  <si>
    <t>Alaska</t>
  </si>
  <si>
    <t>none</t>
  </si>
  <si>
    <t>n.a.</t>
  </si>
  <si>
    <t>Child Support</t>
  </si>
  <si>
    <t>Commissions</t>
  </si>
  <si>
    <t>Ariz. (e, f, u)</t>
  </si>
  <si>
    <t>$100 credit</t>
  </si>
  <si>
    <t>Disability Income</t>
  </si>
  <si>
    <t>Dividend Income</t>
  </si>
  <si>
    <t>Ark.</t>
  </si>
  <si>
    <t>$29 credit</t>
  </si>
  <si>
    <t>$58 credit</t>
  </si>
  <si>
    <t>Interest Income</t>
  </si>
  <si>
    <t>(g, h, bb, ll)</t>
  </si>
  <si>
    <t>Life Insurance Distributions</t>
  </si>
  <si>
    <t>Pension Distributions</t>
  </si>
  <si>
    <t>Portfolio Income</t>
  </si>
  <si>
    <t>Calif.</t>
  </si>
  <si>
    <t>$144 credit</t>
  </si>
  <si>
    <t>$288 credit</t>
  </si>
  <si>
    <t>$446 credit</t>
  </si>
  <si>
    <t>(a, h, j, k, l, m, n, oo)</t>
  </si>
  <si>
    <t>Royalty Income</t>
  </si>
  <si>
    <t>Social Security</t>
  </si>
  <si>
    <t>Tips</t>
  </si>
  <si>
    <t>Trust Distributions</t>
  </si>
  <si>
    <t>Colo. (a, o)</t>
  </si>
  <si>
    <t>Conn.</t>
  </si>
  <si>
    <t>(i, p, q, r)</t>
  </si>
  <si>
    <t>Del.</t>
  </si>
  <si>
    <t>$110 credit</t>
  </si>
  <si>
    <t>$220 credit</t>
  </si>
  <si>
    <t>(a, h, m, s)</t>
  </si>
  <si>
    <t>Fla.</t>
  </si>
  <si>
    <t>Ga.</t>
  </si>
  <si>
    <t>Hawaii</t>
  </si>
  <si>
    <t>(m, t)</t>
  </si>
  <si>
    <t>Idaho (m, u)</t>
  </si>
  <si>
    <t>Ill. (d, m, v)</t>
  </si>
  <si>
    <t>Ind. (a, m, w)</t>
  </si>
  <si>
    <t>Iowa</t>
  </si>
  <si>
    <t>$40 credit</t>
  </si>
  <si>
    <t>$80 credit</t>
  </si>
  <si>
    <t>(a, d, h)</t>
  </si>
  <si>
    <t xml:space="preserve">Kans. </t>
  </si>
  <si>
    <t>(a, m)</t>
  </si>
  <si>
    <t>Ky.</t>
  </si>
  <si>
    <t>(a, d)</t>
  </si>
  <si>
    <t>La.</t>
  </si>
  <si>
    <t>(x)</t>
  </si>
  <si>
    <t>Maine</t>
  </si>
  <si>
    <t>$300 credit</t>
  </si>
  <si>
    <t>(u, y, bb)</t>
  </si>
  <si>
    <t>Md.</t>
  </si>
  <si>
    <t>(a, m, n, z, aa)</t>
  </si>
  <si>
    <t>Mass.</t>
  </si>
  <si>
    <t>Mich. (a, d, n)</t>
  </si>
  <si>
    <t xml:space="preserve">Minn. </t>
  </si>
  <si>
    <t>(d, bb, cc, pp)</t>
  </si>
  <si>
    <t>Miss.</t>
  </si>
  <si>
    <t>Mo.</t>
  </si>
  <si>
    <t>n.a</t>
  </si>
  <si>
    <t>(a, b, j, m, u)</t>
  </si>
  <si>
    <t>Mont.</t>
  </si>
  <si>
    <t>(b, d, u, bb)</t>
  </si>
  <si>
    <t>Nebr.</t>
  </si>
  <si>
    <t>$157 credit</t>
  </si>
  <si>
    <t>$314 credit</t>
  </si>
  <si>
    <t>(d, h, m, bb)</t>
  </si>
  <si>
    <t>Nev.</t>
  </si>
  <si>
    <t>N.H. (dd)</t>
  </si>
  <si>
    <t>3% on interest and dividends only</t>
  </si>
  <si>
    <t xml:space="preserve">N.J. </t>
  </si>
  <si>
    <t>(a)</t>
  </si>
  <si>
    <t>N.M.</t>
  </si>
  <si>
    <t>(m, u, kk)</t>
  </si>
  <si>
    <t>N.Y.</t>
  </si>
  <si>
    <t>(a, i)</t>
  </si>
  <si>
    <t>N.C.</t>
  </si>
  <si>
    <t>N.D.</t>
  </si>
  <si>
    <t>(j, o, u)</t>
  </si>
  <si>
    <t>Ohio</t>
  </si>
  <si>
    <t>(a, j, n, ee)</t>
  </si>
  <si>
    <t xml:space="preserve">Okla. </t>
  </si>
  <si>
    <t>(m)</t>
  </si>
  <si>
    <t>Ore.</t>
  </si>
  <si>
    <t>$249 credit</t>
  </si>
  <si>
    <t>$498 credit</t>
  </si>
  <si>
    <t>(a, b, d, h, m, bb, ff, oo)</t>
  </si>
  <si>
    <t>Pa. (a)</t>
  </si>
  <si>
    <t>R.I.</t>
  </si>
  <si>
    <t>(d, bb, gg)</t>
  </si>
  <si>
    <t>S.C.</t>
  </si>
  <si>
    <t>$4,610 (o)</t>
  </si>
  <si>
    <t>(d, o, u, bb)</t>
  </si>
  <si>
    <t>S.D.</t>
  </si>
  <si>
    <t>Tenn.</t>
  </si>
  <si>
    <t>Tex.</t>
  </si>
  <si>
    <t>Utah (d, h, hh)</t>
  </si>
  <si>
    <t>$876 credit</t>
  </si>
  <si>
    <t>$1,752 credit</t>
  </si>
  <si>
    <t>Vt.</t>
  </si>
  <si>
    <t>(j, n, ii, nn)</t>
  </si>
  <si>
    <t>Va.</t>
  </si>
  <si>
    <t>(m, mm)</t>
  </si>
  <si>
    <t>Wash.</t>
  </si>
  <si>
    <t>7.0% on capital gains income only</t>
  </si>
  <si>
    <t xml:space="preserve">W.Va. </t>
  </si>
  <si>
    <t>Wis.</t>
  </si>
  <si>
    <t>(d, m, bb, jj)</t>
  </si>
  <si>
    <t>Wyo.</t>
  </si>
  <si>
    <t>D.C.</t>
  </si>
  <si>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</sst>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0.000%"/>
  </numFmts>
  <fonts count="33" x14ac:knownFonts="1">
    <font>
      <sz val="11"/>
      <color theme="1"/>
      <name val="Aptos Narrow"/>
      <family val="2"/>
      <scheme val="minor"/>
    </font>
    <font>
      <sz val="11"/>
      <color theme="1"/>
      <name val="Aptos Narrow"/>
      <family val="2"/>
      <scheme val="minor"/>
    </font>
    <font>
      <sz val="11"/>
      <name val="Aptos Narrow"/>
      <family val="2"/>
      <scheme val="minor"/>
    </font>
    <font>
      <b/>
      <sz val="11"/>
      <name val="Aptos Narrow"/>
      <family val="2"/>
      <scheme val="minor"/>
    </font>
    <font>
      <b/>
      <u val="singleAccounting"/>
      <sz val="11"/>
      <name val="Aptos Narrow"/>
      <family val="2"/>
      <scheme val="minor"/>
    </font>
    <font>
      <b/>
      <sz val="11"/>
      <color rgb="FFC00000"/>
      <name val="Aptos Narrow"/>
      <family val="2"/>
      <scheme val="minor"/>
    </font>
    <font>
      <b/>
      <u/>
      <sz val="11"/>
      <color rgb="FFC00000"/>
      <name val="Aptos Narrow"/>
      <family val="2"/>
      <scheme val="minor"/>
    </font>
    <font>
      <i/>
      <sz val="11"/>
      <name val="Aptos Narrow"/>
      <family val="2"/>
      <scheme val="minor"/>
    </font>
    <font>
      <sz val="11"/>
      <color rgb="FFC00000"/>
      <name val="Aptos Narrow"/>
      <family val="2"/>
      <scheme val="minor"/>
    </font>
    <font>
      <i/>
      <sz val="11"/>
      <color rgb="FFC00000"/>
      <name val="Aptos Narrow"/>
      <family val="2"/>
      <scheme val="minor"/>
    </font>
    <font>
      <u/>
      <sz val="11"/>
      <color theme="10"/>
      <name val="Aptos Narrow"/>
      <family val="2"/>
      <scheme val="minor"/>
    </font>
    <font>
      <b/>
      <sz val="11"/>
      <color theme="1"/>
      <name val="Aptos Narrow"/>
      <family val="2"/>
      <scheme val="minor"/>
    </font>
    <font>
      <u/>
      <sz val="11"/>
      <color theme="1"/>
      <name val="Aptos Narrow"/>
      <family val="2"/>
      <scheme val="minor"/>
    </font>
    <font>
      <b/>
      <u/>
      <sz val="11"/>
      <color theme="1"/>
      <name val="Aptos Narrow"/>
      <family val="2"/>
      <scheme val="minor"/>
    </font>
    <font>
      <i/>
      <sz val="10"/>
      <color theme="1"/>
      <name val="Aptos Narrow"/>
      <family val="2"/>
      <scheme val="minor"/>
    </font>
    <font>
      <i/>
      <sz val="11"/>
      <color theme="1"/>
      <name val="Aptos Narrow"/>
      <family val="2"/>
      <scheme val="minor"/>
    </font>
    <font>
      <b/>
      <sz val="11"/>
      <color theme="0"/>
      <name val="Aptos Narrow"/>
      <family val="2"/>
      <scheme val="minor"/>
    </font>
    <font>
      <u/>
      <sz val="11"/>
      <color theme="10"/>
      <name val="Calibri"/>
      <family val="2"/>
    </font>
    <font>
      <b/>
      <i/>
      <sz val="11"/>
      <color theme="1"/>
      <name val="Aptos Narrow"/>
      <family val="2"/>
      <scheme val="minor"/>
    </font>
    <font>
      <sz val="11"/>
      <color theme="0"/>
      <name val="Aptos Narrow"/>
      <family val="2"/>
      <scheme val="minor"/>
    </font>
    <font>
      <b/>
      <i/>
      <sz val="11"/>
      <color rgb="FFC00000"/>
      <name val="Aptos Narrow"/>
      <family val="2"/>
      <scheme val="minor"/>
    </font>
    <font>
      <b/>
      <u/>
      <sz val="11"/>
      <color theme="10"/>
      <name val="Aptos Narrow"/>
      <family val="2"/>
      <scheme val="minor"/>
    </font>
    <font>
      <sz val="9"/>
      <color indexed="81"/>
      <name val="Tahoma"/>
      <charset val="1"/>
    </font>
    <font>
      <sz val="10"/>
      <name val="Trebuchet MS"/>
      <family val="2"/>
    </font>
    <font>
      <sz val="10"/>
      <color rgb="FFFF0000"/>
      <name val="Lato"/>
      <family val="2"/>
    </font>
    <font>
      <b/>
      <sz val="10"/>
      <color rgb="FF000000"/>
      <name val="Lato"/>
      <family val="2"/>
    </font>
    <font>
      <sz val="10"/>
      <name val="Lato"/>
      <family val="2"/>
    </font>
    <font>
      <b/>
      <sz val="10"/>
      <name val="Lato"/>
      <family val="2"/>
    </font>
    <font>
      <sz val="10"/>
      <color rgb="FF000000"/>
      <name val="Lato"/>
      <family val="2"/>
    </font>
    <font>
      <sz val="10"/>
      <color rgb="FFFFC000"/>
      <name val="Lato"/>
      <family val="2"/>
    </font>
    <font>
      <sz val="10"/>
      <color theme="1"/>
      <name val="Lato"/>
      <family val="2"/>
    </font>
    <font>
      <sz val="10"/>
      <color rgb="FFC00000"/>
      <name val="Lato"/>
      <family val="2"/>
    </font>
    <font>
      <b/>
      <u/>
      <sz val="10"/>
      <name val="Lato"/>
      <family val="2"/>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0000"/>
        <bgColor indexed="64"/>
      </patternFill>
    </fill>
  </fills>
  <borders count="22">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thick">
        <color rgb="FFD9D9D9"/>
      </bottom>
      <diagonal/>
    </border>
    <border>
      <left style="medium">
        <color rgb="FFD9D9D9"/>
      </left>
      <right/>
      <top/>
      <bottom style="thick">
        <color rgb="FFD9D9D9"/>
      </bottom>
      <diagonal/>
    </border>
    <border>
      <left style="medium">
        <color rgb="FFD9D9D9"/>
      </left>
      <right/>
      <top/>
      <bottom/>
      <diagonal/>
    </border>
    <border>
      <left/>
      <right style="medium">
        <color rgb="FFD9D9D9"/>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12">
    <xf numFmtId="0" fontId="0" fillId="0" borderId="0" xfId="0"/>
    <xf numFmtId="164" fontId="2" fillId="0" borderId="0" xfId="1" applyNumberFormat="1" applyFont="1" applyAlignment="1">
      <alignment vertical="center"/>
    </xf>
    <xf numFmtId="164" fontId="2" fillId="0" borderId="0" xfId="1" applyNumberFormat="1" applyFont="1" applyBorder="1" applyAlignment="1">
      <alignment vertical="center"/>
    </xf>
    <xf numFmtId="164" fontId="3" fillId="0" borderId="1" xfId="1" applyNumberFormat="1" applyFont="1" applyBorder="1" applyAlignment="1">
      <alignment vertical="center"/>
    </xf>
    <xf numFmtId="164" fontId="2" fillId="0" borderId="1" xfId="1" applyNumberFormat="1" applyFont="1" applyBorder="1" applyAlignment="1">
      <alignment vertical="center"/>
    </xf>
    <xf numFmtId="164" fontId="3" fillId="0" borderId="2" xfId="1" applyNumberFormat="1" applyFont="1" applyBorder="1" applyAlignment="1">
      <alignment horizontal="centerContinuous" vertical="center"/>
    </xf>
    <xf numFmtId="164" fontId="2" fillId="0" borderId="2" xfId="1" applyNumberFormat="1" applyFont="1" applyBorder="1" applyAlignment="1">
      <alignment horizontal="centerContinuous" vertical="center"/>
    </xf>
    <xf numFmtId="164" fontId="2" fillId="0" borderId="3" xfId="1" applyNumberFormat="1" applyFont="1" applyBorder="1" applyAlignment="1">
      <alignment vertical="center"/>
    </xf>
    <xf numFmtId="0" fontId="5" fillId="0" borderId="0" xfId="1" applyNumberFormat="1" applyFont="1" applyAlignment="1">
      <alignment horizontal="center" vertical="center" wrapText="1"/>
    </xf>
    <xf numFmtId="0" fontId="5" fillId="0" borderId="0" xfId="1" applyNumberFormat="1" applyFont="1" applyAlignment="1">
      <alignment horizontal="left" vertical="center" wrapText="1"/>
    </xf>
    <xf numFmtId="164" fontId="3" fillId="0" borderId="2"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3" fillId="2" borderId="0" xfId="1" applyNumberFormat="1" applyFont="1" applyFill="1" applyBorder="1" applyAlignment="1">
      <alignment vertical="center"/>
    </xf>
    <xf numFmtId="164" fontId="2" fillId="2" borderId="0" xfId="1" applyNumberFormat="1" applyFont="1" applyFill="1" applyBorder="1" applyAlignment="1">
      <alignment vertical="center"/>
    </xf>
    <xf numFmtId="165" fontId="2" fillId="2" borderId="0" xfId="2" applyNumberFormat="1" applyFont="1" applyFill="1" applyBorder="1" applyAlignment="1">
      <alignment vertical="center"/>
    </xf>
    <xf numFmtId="43" fontId="2" fillId="0" borderId="0" xfId="1" applyFont="1" applyFill="1" applyBorder="1" applyAlignment="1">
      <alignment vertical="center"/>
    </xf>
    <xf numFmtId="165" fontId="2" fillId="0" borderId="0" xfId="2" applyNumberFormat="1" applyFont="1" applyFill="1" applyBorder="1" applyAlignment="1">
      <alignment vertical="center"/>
    </xf>
    <xf numFmtId="0" fontId="2" fillId="2" borderId="0" xfId="0" applyFont="1" applyFill="1" applyAlignment="1">
      <alignment vertical="center"/>
    </xf>
    <xf numFmtId="164" fontId="2" fillId="0" borderId="4" xfId="1" applyNumberFormat="1" applyFont="1" applyBorder="1" applyAlignment="1">
      <alignment vertical="center"/>
    </xf>
    <xf numFmtId="164" fontId="2" fillId="0" borderId="2" xfId="1" applyNumberFormat="1" applyFont="1" applyBorder="1" applyAlignment="1">
      <alignment vertical="center"/>
    </xf>
    <xf numFmtId="164" fontId="2" fillId="2" borderId="0" xfId="1" applyNumberFormat="1" applyFont="1" applyFill="1" applyAlignment="1">
      <alignment vertical="center"/>
    </xf>
    <xf numFmtId="0" fontId="3" fillId="0" borderId="5" xfId="1" applyNumberFormat="1" applyFont="1" applyBorder="1" applyAlignment="1">
      <alignment horizontal="left" vertical="center" wrapText="1"/>
    </xf>
    <xf numFmtId="164" fontId="2" fillId="0" borderId="5" xfId="1" applyNumberFormat="1" applyFont="1" applyBorder="1" applyAlignment="1">
      <alignment vertical="center"/>
    </xf>
    <xf numFmtId="43" fontId="2" fillId="0" borderId="5" xfId="1" applyFont="1" applyBorder="1" applyAlignment="1">
      <alignment vertical="center"/>
    </xf>
    <xf numFmtId="165" fontId="3" fillId="0" borderId="5" xfId="2" applyNumberFormat="1" applyFont="1" applyBorder="1" applyAlignment="1">
      <alignment vertical="center"/>
    </xf>
    <xf numFmtId="164" fontId="4" fillId="3" borderId="0" xfId="1" applyNumberFormat="1" applyFont="1" applyFill="1" applyAlignment="1">
      <alignment horizontal="center" vertical="center"/>
    </xf>
    <xf numFmtId="164" fontId="7" fillId="0" borderId="0" xfId="1" applyNumberFormat="1" applyFont="1" applyAlignment="1">
      <alignment vertical="center"/>
    </xf>
    <xf numFmtId="165" fontId="2" fillId="0" borderId="0" xfId="2" applyNumberFormat="1" applyFont="1" applyBorder="1" applyAlignment="1">
      <alignment vertical="center"/>
    </xf>
    <xf numFmtId="164" fontId="3" fillId="2" borderId="0" xfId="1" applyNumberFormat="1" applyFont="1" applyFill="1" applyBorder="1" applyAlignment="1">
      <alignment horizontal="center" vertical="center"/>
    </xf>
    <xf numFmtId="164" fontId="3" fillId="0" borderId="0" xfId="1" applyNumberFormat="1" applyFont="1" applyBorder="1" applyAlignment="1">
      <alignment horizontal="center" vertical="center"/>
    </xf>
    <xf numFmtId="164" fontId="5" fillId="0" borderId="0" xfId="1" applyNumberFormat="1" applyFont="1" applyAlignment="1">
      <alignment horizontal="left" vertical="center" wrapText="1"/>
    </xf>
    <xf numFmtId="9" fontId="2" fillId="2" borderId="2" xfId="3" applyFont="1" applyFill="1" applyBorder="1" applyAlignment="1">
      <alignment vertical="center"/>
    </xf>
    <xf numFmtId="9" fontId="2" fillId="0" borderId="2" xfId="3" applyFont="1" applyFill="1" applyBorder="1" applyAlignment="1">
      <alignment vertical="center"/>
    </xf>
    <xf numFmtId="165" fontId="2" fillId="0" borderId="0" xfId="2" applyNumberFormat="1" applyFont="1" applyAlignment="1">
      <alignment vertical="center"/>
    </xf>
    <xf numFmtId="165" fontId="2" fillId="0" borderId="0" xfId="2" applyNumberFormat="1" applyFont="1" applyFill="1" applyAlignment="1">
      <alignment vertical="center"/>
    </xf>
    <xf numFmtId="164" fontId="2" fillId="0" borderId="2" xfId="1" applyNumberFormat="1" applyFont="1" applyFill="1" applyBorder="1" applyAlignment="1">
      <alignment vertical="center"/>
    </xf>
    <xf numFmtId="164" fontId="4" fillId="0" borderId="0" xfId="1" applyNumberFormat="1" applyFont="1" applyAlignment="1">
      <alignment horizontal="center" vertical="center"/>
    </xf>
    <xf numFmtId="164" fontId="8" fillId="0" borderId="0" xfId="1" applyNumberFormat="1" applyFont="1" applyAlignment="1">
      <alignment vertical="center"/>
    </xf>
    <xf numFmtId="164" fontId="7" fillId="0" borderId="0" xfId="1" applyNumberFormat="1" applyFont="1" applyBorder="1" applyAlignment="1">
      <alignment vertical="center"/>
    </xf>
    <xf numFmtId="164" fontId="7" fillId="0" borderId="3" xfId="1" applyNumberFormat="1" applyFont="1" applyBorder="1" applyAlignment="1">
      <alignment vertical="center"/>
    </xf>
    <xf numFmtId="164" fontId="9" fillId="0" borderId="0" xfId="1" applyNumberFormat="1" applyFont="1" applyAlignment="1">
      <alignment vertical="center"/>
    </xf>
    <xf numFmtId="0" fontId="0" fillId="4" borderId="0" xfId="0" applyFill="1"/>
    <xf numFmtId="0" fontId="0" fillId="0" borderId="0" xfId="0" applyAlignment="1">
      <alignment horizontal="left"/>
    </xf>
    <xf numFmtId="0" fontId="10" fillId="0" borderId="0" xfId="4" applyAlignment="1">
      <alignment horizontal="left"/>
    </xf>
    <xf numFmtId="0" fontId="10" fillId="0" borderId="0" xfId="4" applyAlignment="1">
      <alignment horizontal="center"/>
    </xf>
    <xf numFmtId="10" fontId="11" fillId="0" borderId="0" xfId="3" applyNumberFormat="1" applyFont="1"/>
    <xf numFmtId="0" fontId="11" fillId="0" borderId="0" xfId="0" applyFont="1"/>
    <xf numFmtId="0" fontId="11" fillId="0" borderId="0" xfId="0" applyFont="1" applyAlignment="1">
      <alignment horizontal="left"/>
    </xf>
    <xf numFmtId="165" fontId="11" fillId="0" borderId="0" xfId="2" applyNumberFormat="1" applyFont="1"/>
    <xf numFmtId="164" fontId="11" fillId="0" borderId="0" xfId="1" applyNumberFormat="1" applyFont="1" applyAlignment="1">
      <alignment horizontal="right"/>
    </xf>
    <xf numFmtId="8" fontId="11" fillId="0" borderId="0" xfId="2" applyNumberFormat="1" applyFont="1"/>
    <xf numFmtId="8" fontId="11" fillId="0" borderId="0" xfId="0" applyNumberFormat="1" applyFont="1"/>
    <xf numFmtId="44" fontId="11" fillId="0" borderId="0" xfId="2" applyFont="1"/>
    <xf numFmtId="0" fontId="11" fillId="5" borderId="0" xfId="0" applyFont="1" applyFill="1" applyAlignment="1">
      <alignment horizontal="centerContinuous"/>
    </xf>
    <xf numFmtId="0" fontId="11" fillId="2" borderId="0" xfId="0" applyFont="1" applyFill="1" applyAlignment="1">
      <alignment horizontal="centerContinuous"/>
    </xf>
    <xf numFmtId="0" fontId="11" fillId="0" borderId="2" xfId="0" applyFont="1" applyBorder="1" applyAlignment="1">
      <alignment horizontal="center" wrapText="1"/>
    </xf>
    <xf numFmtId="9" fontId="0" fillId="0" borderId="0" xfId="3" applyFont="1"/>
    <xf numFmtId="44" fontId="0" fillId="0" borderId="0" xfId="2" applyFont="1" applyAlignment="1">
      <alignment horizontal="left"/>
    </xf>
    <xf numFmtId="42" fontId="0" fillId="0" borderId="0" xfId="0" applyNumberFormat="1"/>
    <xf numFmtId="0" fontId="11" fillId="0" borderId="0" xfId="0" applyFont="1" applyAlignment="1">
      <alignment horizontal="center" wrapText="1"/>
    </xf>
    <xf numFmtId="44" fontId="11" fillId="0" borderId="0" xfId="2" applyFont="1" applyBorder="1" applyAlignment="1">
      <alignment horizontal="center" wrapText="1"/>
    </xf>
    <xf numFmtId="44" fontId="0" fillId="0" borderId="0" xfId="2" applyFont="1"/>
    <xf numFmtId="0" fontId="0" fillId="0" borderId="2" xfId="0" applyBorder="1"/>
    <xf numFmtId="44" fontId="0" fillId="0" borderId="2" xfId="2" applyFont="1" applyBorder="1" applyAlignment="1">
      <alignment horizontal="left"/>
    </xf>
    <xf numFmtId="0" fontId="14" fillId="0" borderId="0" xfId="0" applyFont="1"/>
    <xf numFmtId="17" fontId="0" fillId="0" borderId="0" xfId="0" quotePrefix="1" applyNumberFormat="1" applyAlignment="1">
      <alignment horizontal="left"/>
    </xf>
    <xf numFmtId="10" fontId="0" fillId="0" borderId="0" xfId="3" applyNumberFormat="1" applyFont="1"/>
    <xf numFmtId="9" fontId="0" fillId="0" borderId="2" xfId="3" applyFont="1" applyBorder="1"/>
    <xf numFmtId="164" fontId="0" fillId="0" borderId="2" xfId="1" applyNumberFormat="1" applyFont="1" applyBorder="1"/>
    <xf numFmtId="0" fontId="5" fillId="0" borderId="0" xfId="0" applyFont="1"/>
    <xf numFmtId="44" fontId="5" fillId="0" borderId="0" xfId="2" applyFont="1" applyAlignment="1">
      <alignment horizontal="left"/>
    </xf>
    <xf numFmtId="0" fontId="11" fillId="3" borderId="0" xfId="0" applyFont="1" applyFill="1" applyAlignment="1">
      <alignment horizontal="left"/>
    </xf>
    <xf numFmtId="44" fontId="11" fillId="3" borderId="0" xfId="2" applyFont="1" applyFill="1"/>
    <xf numFmtId="44" fontId="0" fillId="3" borderId="0" xfId="2" applyFont="1" applyFill="1"/>
    <xf numFmtId="17" fontId="11" fillId="0" borderId="5" xfId="0" quotePrefix="1" applyNumberFormat="1" applyFont="1" applyBorder="1" applyAlignment="1">
      <alignment horizontal="left"/>
    </xf>
    <xf numFmtId="44" fontId="11" fillId="0" borderId="5" xfId="2" applyFont="1" applyBorder="1"/>
    <xf numFmtId="0" fontId="11" fillId="3" borderId="0" xfId="0" applyFont="1" applyFill="1" applyAlignment="1">
      <alignment horizontal="centerContinuous"/>
    </xf>
    <xf numFmtId="0" fontId="0" fillId="3" borderId="0" xfId="0" applyFill="1" applyAlignment="1">
      <alignment horizontal="centerContinuous"/>
    </xf>
    <xf numFmtId="164" fontId="11" fillId="0" borderId="0" xfId="1" applyNumberFormat="1" applyFont="1" applyAlignment="1">
      <alignment horizontal="left"/>
    </xf>
    <xf numFmtId="164" fontId="11" fillId="0" borderId="0" xfId="1" applyNumberFormat="1" applyFont="1"/>
    <xf numFmtId="10" fontId="0" fillId="0" borderId="2" xfId="3" applyNumberFormat="1" applyFont="1" applyBorder="1"/>
    <xf numFmtId="165" fontId="0" fillId="0" borderId="0" xfId="2" applyNumberFormat="1" applyFont="1" applyBorder="1"/>
    <xf numFmtId="9" fontId="0" fillId="0" borderId="0" xfId="3" applyFont="1" applyBorder="1"/>
    <xf numFmtId="165" fontId="0" fillId="0" borderId="2" xfId="2" applyNumberFormat="1" applyFont="1" applyBorder="1"/>
    <xf numFmtId="165" fontId="0" fillId="0" borderId="0" xfId="0" applyNumberFormat="1"/>
    <xf numFmtId="164" fontId="0" fillId="0" borderId="0" xfId="1" applyNumberFormat="1" applyFont="1"/>
    <xf numFmtId="165" fontId="0" fillId="0" borderId="0" xfId="2" applyNumberFormat="1" applyFont="1"/>
    <xf numFmtId="0" fontId="11" fillId="3" borderId="2" xfId="0" applyFont="1" applyFill="1" applyBorder="1" applyAlignment="1">
      <alignment horizontal="center"/>
    </xf>
    <xf numFmtId="0" fontId="15" fillId="0" borderId="0" xfId="0" applyFont="1"/>
    <xf numFmtId="0" fontId="0" fillId="5" borderId="0" xfId="0" applyFill="1"/>
    <xf numFmtId="165" fontId="0" fillId="5" borderId="0" xfId="2" applyNumberFormat="1" applyFont="1" applyFill="1"/>
    <xf numFmtId="0" fontId="11" fillId="2" borderId="5" xfId="0" applyFont="1" applyFill="1" applyBorder="1"/>
    <xf numFmtId="165" fontId="11" fillId="2" borderId="5" xfId="2" applyNumberFormat="1" applyFont="1" applyFill="1" applyBorder="1"/>
    <xf numFmtId="0" fontId="0" fillId="0" borderId="0" xfId="0" applyAlignment="1">
      <alignment horizontal="center"/>
    </xf>
    <xf numFmtId="0" fontId="16" fillId="4" borderId="0" xfId="0" applyFont="1" applyFill="1" applyAlignment="1">
      <alignment horizontal="centerContinuous"/>
    </xf>
    <xf numFmtId="0" fontId="17" fillId="6" borderId="6" xfId="4" applyFont="1" applyFill="1" applyBorder="1" applyAlignment="1">
      <alignment horizontal="center"/>
    </xf>
    <xf numFmtId="0" fontId="0" fillId="5" borderId="0" xfId="0" applyFill="1" applyAlignment="1">
      <alignment horizontal="center"/>
    </xf>
    <xf numFmtId="0" fontId="0" fillId="6" borderId="7" xfId="0" applyFill="1" applyBorder="1" applyAlignment="1">
      <alignment horizontal="center"/>
    </xf>
    <xf numFmtId="164" fontId="0" fillId="0" borderId="0" xfId="1" applyNumberFormat="1" applyFont="1" applyFill="1"/>
    <xf numFmtId="164" fontId="0" fillId="0" borderId="0" xfId="1" applyNumberFormat="1" applyFont="1" applyBorder="1"/>
    <xf numFmtId="164" fontId="0" fillId="6" borderId="7" xfId="0" applyNumberFormat="1" applyFill="1" applyBorder="1"/>
    <xf numFmtId="164" fontId="0" fillId="6" borderId="8" xfId="1" applyNumberFormat="1" applyFont="1" applyFill="1" applyBorder="1"/>
    <xf numFmtId="164" fontId="0" fillId="6" borderId="9" xfId="1" applyNumberFormat="1" applyFont="1" applyFill="1" applyBorder="1"/>
    <xf numFmtId="164" fontId="18" fillId="6" borderId="2" xfId="0" applyNumberFormat="1" applyFont="1" applyFill="1" applyBorder="1"/>
    <xf numFmtId="0" fontId="0" fillId="6" borderId="9" xfId="0" applyFill="1" applyBorder="1"/>
    <xf numFmtId="0" fontId="0" fillId="6" borderId="10" xfId="0" applyFill="1" applyBorder="1"/>
    <xf numFmtId="164" fontId="0" fillId="0" borderId="0" xfId="0" applyNumberFormat="1"/>
    <xf numFmtId="164" fontId="0" fillId="0" borderId="0" xfId="1" applyNumberFormat="1" applyFont="1" applyFill="1" applyBorder="1"/>
    <xf numFmtId="164" fontId="0" fillId="3" borderId="8" xfId="1" applyNumberFormat="1" applyFont="1" applyFill="1" applyBorder="1"/>
    <xf numFmtId="164" fontId="0" fillId="3" borderId="9" xfId="1" applyNumberFormat="1" applyFont="1" applyFill="1" applyBorder="1"/>
    <xf numFmtId="0" fontId="17" fillId="3" borderId="9" xfId="4" applyFont="1" applyFill="1" applyBorder="1" applyAlignment="1">
      <alignment horizontal="center"/>
    </xf>
    <xf numFmtId="0" fontId="0" fillId="3" borderId="9" xfId="0" applyFill="1" applyBorder="1"/>
    <xf numFmtId="0" fontId="0" fillId="3" borderId="4" xfId="0" applyFill="1" applyBorder="1"/>
    <xf numFmtId="165" fontId="0" fillId="3" borderId="11" xfId="2" applyNumberFormat="1" applyFont="1" applyFill="1" applyBorder="1"/>
    <xf numFmtId="0" fontId="0" fillId="3" borderId="12" xfId="0" applyFill="1" applyBorder="1"/>
    <xf numFmtId="165" fontId="0" fillId="3" borderId="13" xfId="2" applyNumberFormat="1" applyFont="1" applyFill="1" applyBorder="1"/>
    <xf numFmtId="0" fontId="11" fillId="3" borderId="12" xfId="0" applyFont="1" applyFill="1" applyBorder="1"/>
    <xf numFmtId="165" fontId="11" fillId="3" borderId="13" xfId="2" applyNumberFormat="1" applyFont="1" applyFill="1" applyBorder="1"/>
    <xf numFmtId="0" fontId="0" fillId="0" borderId="0" xfId="0" applyAlignment="1">
      <alignment horizontal="left" indent="1"/>
    </xf>
    <xf numFmtId="0" fontId="0" fillId="0" borderId="2" xfId="0" applyBorder="1" applyAlignment="1">
      <alignment horizontal="left" indent="1"/>
    </xf>
    <xf numFmtId="165" fontId="0" fillId="0" borderId="2" xfId="0" applyNumberFormat="1" applyBorder="1"/>
    <xf numFmtId="165" fontId="11" fillId="0" borderId="0" xfId="0" applyNumberFormat="1" applyFont="1"/>
    <xf numFmtId="0" fontId="0" fillId="0" borderId="0" xfId="0" applyAlignment="1">
      <alignment wrapText="1"/>
    </xf>
    <xf numFmtId="0" fontId="11" fillId="0" borderId="0" xfId="0" applyFont="1" applyAlignment="1">
      <alignment wrapText="1"/>
    </xf>
    <xf numFmtId="0" fontId="16" fillId="0" borderId="0" xfId="0" applyFont="1" applyAlignment="1">
      <alignment wrapText="1"/>
    </xf>
    <xf numFmtId="0" fontId="11" fillId="0" borderId="2" xfId="0" applyFont="1" applyBorder="1" applyAlignment="1">
      <alignment wrapText="1"/>
    </xf>
    <xf numFmtId="0" fontId="0" fillId="0" borderId="2" xfId="0" applyBorder="1" applyAlignment="1">
      <alignment wrapText="1"/>
    </xf>
    <xf numFmtId="0" fontId="16" fillId="4" borderId="6" xfId="0" applyFont="1" applyFill="1" applyBorder="1" applyAlignment="1">
      <alignment horizontal="center" vertical="center" wrapText="1"/>
    </xf>
    <xf numFmtId="0" fontId="11" fillId="0" borderId="6" xfId="0" applyFont="1" applyBorder="1" applyAlignment="1">
      <alignment vertical="center" wrapText="1"/>
    </xf>
    <xf numFmtId="0" fontId="0" fillId="0" borderId="6" xfId="0" applyBorder="1" applyAlignment="1">
      <alignment vertical="center" wrapText="1"/>
    </xf>
    <xf numFmtId="0" fontId="16" fillId="7" borderId="1" xfId="0" applyFont="1" applyFill="1" applyBorder="1"/>
    <xf numFmtId="0" fontId="19" fillId="7" borderId="1" xfId="0" applyFont="1" applyFill="1" applyBorder="1"/>
    <xf numFmtId="0" fontId="15" fillId="0" borderId="0" xfId="0" applyFont="1" applyAlignment="1">
      <alignment horizontal="left" wrapText="1"/>
    </xf>
    <xf numFmtId="0" fontId="11" fillId="0" borderId="2" xfId="0" applyFont="1" applyBorder="1"/>
    <xf numFmtId="0" fontId="16" fillId="4" borderId="6" xfId="0" applyFont="1" applyFill="1" applyBorder="1" applyAlignment="1">
      <alignment horizontal="center" vertical="center"/>
    </xf>
    <xf numFmtId="9" fontId="2" fillId="0" borderId="6" xfId="3" applyFont="1" applyFill="1" applyBorder="1" applyAlignment="1">
      <alignment horizontal="center" vertical="center"/>
    </xf>
    <xf numFmtId="0" fontId="2" fillId="0" borderId="6" xfId="0" applyFont="1" applyBorder="1" applyAlignment="1">
      <alignment horizontal="center" vertical="center"/>
    </xf>
    <xf numFmtId="0" fontId="11" fillId="2" borderId="0" xfId="0" applyFont="1" applyFill="1" applyAlignment="1">
      <alignment horizontal="left"/>
    </xf>
    <xf numFmtId="44" fontId="11" fillId="2" borderId="0" xfId="2" applyFont="1" applyFill="1" applyAlignment="1"/>
    <xf numFmtId="44" fontId="2" fillId="0" borderId="6" xfId="2" applyFont="1" applyFill="1" applyBorder="1" applyAlignment="1">
      <alignment horizontal="center" vertical="center"/>
    </xf>
    <xf numFmtId="9" fontId="2" fillId="0" borderId="14" xfId="3" applyFont="1" applyFill="1" applyBorder="1" applyAlignment="1">
      <alignment horizontal="center" vertical="center"/>
    </xf>
    <xf numFmtId="44" fontId="2" fillId="0" borderId="14" xfId="2" applyFont="1" applyFill="1" applyBorder="1" applyAlignment="1">
      <alignment horizontal="center" vertical="center"/>
    </xf>
    <xf numFmtId="0" fontId="11" fillId="0" borderId="15" xfId="0" applyFont="1" applyBorder="1" applyAlignment="1">
      <alignment horizontal="left" vertical="center"/>
    </xf>
    <xf numFmtId="0" fontId="0" fillId="0" borderId="16" xfId="0" applyBorder="1" applyAlignment="1">
      <alignment horizontal="centerContinuous" vertical="center"/>
    </xf>
    <xf numFmtId="0" fontId="0" fillId="0" borderId="17" xfId="0" applyBorder="1" applyAlignment="1">
      <alignment horizontal="centerContinuous" vertical="center"/>
    </xf>
    <xf numFmtId="44" fontId="11" fillId="0" borderId="17" xfId="2" applyFont="1" applyFill="1" applyBorder="1" applyAlignment="1">
      <alignment vertical="center"/>
    </xf>
    <xf numFmtId="0" fontId="20" fillId="0" borderId="12" xfId="0" applyFont="1" applyBorder="1" applyAlignment="1">
      <alignment horizontal="left" vertical="center"/>
    </xf>
    <xf numFmtId="0" fontId="9" fillId="0" borderId="2" xfId="0" applyFont="1" applyBorder="1" applyAlignment="1">
      <alignment horizontal="centerContinuous" vertical="center"/>
    </xf>
    <xf numFmtId="0" fontId="9" fillId="0" borderId="13" xfId="0" applyFont="1" applyBorder="1" applyAlignment="1">
      <alignment horizontal="centerContinuous" vertical="center"/>
    </xf>
    <xf numFmtId="9" fontId="20" fillId="0" borderId="13" xfId="3" applyFont="1" applyFill="1" applyBorder="1" applyAlignment="1">
      <alignment vertical="center"/>
    </xf>
    <xf numFmtId="44" fontId="0" fillId="0" borderId="0" xfId="0" applyNumberFormat="1"/>
    <xf numFmtId="0" fontId="21" fillId="0" borderId="0" xfId="4" applyFont="1" applyAlignment="1">
      <alignment horizontal="left"/>
    </xf>
    <xf numFmtId="0" fontId="19" fillId="0" borderId="0" xfId="0" applyFont="1" applyAlignment="1">
      <alignment horizontal="center"/>
    </xf>
    <xf numFmtId="0" fontId="11" fillId="2" borderId="0" xfId="0" applyFont="1" applyFill="1" applyAlignment="1">
      <alignment horizontal="center"/>
    </xf>
    <xf numFmtId="44" fontId="0" fillId="0" borderId="0" xfId="2" applyFont="1" applyAlignment="1"/>
    <xf numFmtId="44" fontId="19" fillId="0" borderId="0" xfId="2" applyFont="1" applyAlignment="1"/>
    <xf numFmtId="0" fontId="11" fillId="0" borderId="5" xfId="0" applyFont="1" applyBorder="1"/>
    <xf numFmtId="44" fontId="11" fillId="0" borderId="5" xfId="0" applyNumberFormat="1" applyFont="1" applyBorder="1"/>
    <xf numFmtId="0" fontId="2" fillId="0" borderId="0" xfId="0" applyFont="1"/>
    <xf numFmtId="164" fontId="23" fillId="0" borderId="0" xfId="1" applyNumberFormat="1" applyFont="1" applyBorder="1" applyAlignment="1">
      <alignment vertical="center"/>
    </xf>
    <xf numFmtId="43" fontId="23" fillId="0" borderId="0" xfId="1" applyFont="1" applyBorder="1" applyAlignment="1">
      <alignment vertical="center"/>
    </xf>
    <xf numFmtId="0" fontId="24" fillId="0" borderId="18" xfId="0" applyFont="1" applyBorder="1"/>
    <xf numFmtId="0" fontId="25" fillId="0" borderId="19" xfId="0" applyFont="1" applyBorder="1" applyAlignment="1">
      <alignment horizontal="center"/>
    </xf>
    <xf numFmtId="0" fontId="26" fillId="0" borderId="18" xfId="0" applyFont="1" applyBorder="1"/>
    <xf numFmtId="0" fontId="27" fillId="0" borderId="0" xfId="0" applyFont="1"/>
    <xf numFmtId="0" fontId="25" fillId="0" borderId="20" xfId="0" applyFont="1" applyBorder="1"/>
    <xf numFmtId="0" fontId="25" fillId="0" borderId="0" xfId="0" applyFont="1"/>
    <xf numFmtId="0" fontId="27" fillId="0" borderId="20" xfId="0" applyFont="1" applyBorder="1"/>
    <xf numFmtId="0" fontId="27" fillId="0" borderId="20" xfId="0" applyFont="1" applyBorder="1" applyAlignment="1">
      <alignment horizontal="left"/>
    </xf>
    <xf numFmtId="0" fontId="27" fillId="0" borderId="0" xfId="0" applyFont="1" applyAlignment="1">
      <alignment horizontal="left"/>
    </xf>
    <xf numFmtId="0" fontId="26" fillId="0" borderId="0" xfId="0" applyFont="1"/>
    <xf numFmtId="10" fontId="28" fillId="0" borderId="20" xfId="0" applyNumberFormat="1" applyFont="1" applyBorder="1" applyAlignment="1">
      <alignment horizontal="right"/>
    </xf>
    <xf numFmtId="0" fontId="28" fillId="0" borderId="0" xfId="0" applyFont="1"/>
    <xf numFmtId="166" fontId="26" fillId="0" borderId="0" xfId="0" applyNumberFormat="1" applyFont="1" applyAlignment="1">
      <alignment horizontal="right"/>
    </xf>
    <xf numFmtId="10" fontId="26" fillId="0" borderId="20" xfId="0" applyNumberFormat="1" applyFont="1" applyBorder="1" applyAlignment="1">
      <alignment horizontal="right"/>
    </xf>
    <xf numFmtId="166" fontId="26" fillId="0" borderId="20" xfId="0" applyNumberFormat="1" applyFont="1" applyBorder="1" applyAlignment="1">
      <alignment horizontal="right"/>
    </xf>
    <xf numFmtId="6" fontId="26" fillId="0" borderId="20" xfId="0" applyNumberFormat="1" applyFont="1" applyBorder="1" applyAlignment="1">
      <alignment horizontal="right"/>
    </xf>
    <xf numFmtId="0" fontId="26" fillId="0" borderId="20" xfId="0" applyFont="1" applyBorder="1" applyAlignment="1">
      <alignment horizontal="right"/>
    </xf>
    <xf numFmtId="0" fontId="26" fillId="0" borderId="0" xfId="0" applyFont="1" applyAlignment="1">
      <alignment horizontal="right"/>
    </xf>
    <xf numFmtId="6" fontId="26" fillId="0" borderId="0" xfId="0" applyNumberFormat="1" applyFont="1" applyAlignment="1">
      <alignment horizontal="right"/>
    </xf>
    <xf numFmtId="164" fontId="23" fillId="0" borderId="0" xfId="1" applyNumberFormat="1" applyFont="1" applyFill="1" applyBorder="1" applyAlignment="1">
      <alignment vertical="center"/>
    </xf>
    <xf numFmtId="43" fontId="0" fillId="0" borderId="0" xfId="1" applyFont="1"/>
    <xf numFmtId="0" fontId="24" fillId="0" borderId="0" xfId="0" applyFont="1"/>
    <xf numFmtId="0" fontId="28" fillId="0" borderId="20" xfId="0" applyFont="1" applyBorder="1"/>
    <xf numFmtId="0" fontId="26" fillId="0" borderId="20" xfId="0" applyFont="1" applyBorder="1"/>
    <xf numFmtId="0" fontId="28" fillId="0" borderId="20" xfId="0" applyFont="1" applyBorder="1" applyAlignment="1">
      <alignment horizontal="center"/>
    </xf>
    <xf numFmtId="0" fontId="28" fillId="0" borderId="0" xfId="0" applyFont="1"/>
    <xf numFmtId="0" fontId="24" fillId="0" borderId="20" xfId="0" applyFont="1" applyBorder="1"/>
    <xf numFmtId="10" fontId="24" fillId="0" borderId="20" xfId="0" applyNumberFormat="1" applyFont="1" applyBorder="1" applyAlignment="1">
      <alignment horizontal="right"/>
    </xf>
    <xf numFmtId="0" fontId="26" fillId="0" borderId="0" xfId="0" applyFont="1" applyAlignment="1">
      <alignment horizontal="left"/>
    </xf>
    <xf numFmtId="3" fontId="26" fillId="0" borderId="0" xfId="0" applyNumberFormat="1" applyFont="1"/>
    <xf numFmtId="10" fontId="28" fillId="0" borderId="20" xfId="0" applyNumberFormat="1" applyFont="1" applyBorder="1"/>
    <xf numFmtId="6" fontId="26" fillId="0" borderId="0" xfId="0" applyNumberFormat="1" applyFont="1"/>
    <xf numFmtId="10" fontId="26" fillId="0" borderId="20" xfId="0" applyNumberFormat="1" applyFont="1" applyBorder="1"/>
    <xf numFmtId="167" fontId="26" fillId="0" borderId="20" xfId="0" applyNumberFormat="1" applyFont="1" applyBorder="1" applyAlignment="1">
      <alignment horizontal="right"/>
    </xf>
    <xf numFmtId="0" fontId="29" fillId="0" borderId="0" xfId="0" applyFont="1"/>
    <xf numFmtId="0" fontId="26" fillId="0" borderId="0" xfId="0" applyFont="1" applyAlignment="1">
      <alignment wrapText="1"/>
    </xf>
    <xf numFmtId="0" fontId="30" fillId="0" borderId="20" xfId="0" applyFont="1" applyBorder="1" applyAlignment="1">
      <alignment horizontal="center"/>
    </xf>
    <xf numFmtId="0" fontId="30" fillId="0" borderId="0" xfId="0" applyFont="1"/>
    <xf numFmtId="168" fontId="28" fillId="0" borderId="20" xfId="0" applyNumberFormat="1" applyFont="1" applyBorder="1" applyAlignment="1">
      <alignment horizontal="right"/>
    </xf>
    <xf numFmtId="168" fontId="26" fillId="0" borderId="20" xfId="0" applyNumberFormat="1" applyFont="1" applyBorder="1" applyAlignment="1">
      <alignment horizontal="right"/>
    </xf>
    <xf numFmtId="168" fontId="26" fillId="0" borderId="0" xfId="0" applyNumberFormat="1" applyFont="1"/>
    <xf numFmtId="0" fontId="30" fillId="0" borderId="0" xfId="0" applyFont="1"/>
    <xf numFmtId="10" fontId="31" fillId="0" borderId="20" xfId="0" applyNumberFormat="1" applyFont="1" applyBorder="1" applyAlignment="1">
      <alignment horizontal="right"/>
    </xf>
    <xf numFmtId="0" fontId="32" fillId="0" borderId="0" xfId="0" applyFont="1"/>
    <xf numFmtId="10" fontId="28" fillId="0" borderId="20" xfId="0" applyNumberFormat="1" applyFont="1" applyBorder="1" applyAlignment="1">
      <alignment horizontal="center"/>
    </xf>
    <xf numFmtId="10" fontId="28" fillId="0" borderId="0" xfId="0" applyNumberFormat="1" applyFont="1" applyAlignment="1">
      <alignment horizontal="center"/>
    </xf>
    <xf numFmtId="10" fontId="28" fillId="0" borderId="21" xfId="0" applyNumberFormat="1" applyFont="1" applyBorder="1" applyAlignment="1">
      <alignment horizontal="center"/>
    </xf>
    <xf numFmtId="0" fontId="26" fillId="0" borderId="20" xfId="0" applyFont="1" applyBorder="1" applyAlignment="1">
      <alignment horizontal="left" vertical="center"/>
    </xf>
    <xf numFmtId="0" fontId="29" fillId="0" borderId="20" xfId="0" applyFont="1" applyBorder="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485775</xdr:colOff>
      <xdr:row>1</xdr:row>
      <xdr:rowOff>200025</xdr:rowOff>
    </xdr:from>
    <xdr:ext cx="1600199" cy="1600199"/>
    <xdr:pic>
      <xdr:nvPicPr>
        <xdr:cNvPr id="2" name="Picture 1">
          <a:extLst>
            <a:ext uri="{FF2B5EF4-FFF2-40B4-BE49-F238E27FC236}">
              <a16:creationId xmlns:a16="http://schemas.microsoft.com/office/drawing/2014/main" id="{047BAF7D-229E-488D-B721-597ED6B527B4}"/>
            </a:ext>
          </a:extLst>
        </xdr:cNvPr>
        <xdr:cNvPicPr>
          <a:picLocks noChangeAspect="1"/>
        </xdr:cNvPicPr>
      </xdr:nvPicPr>
      <xdr:blipFill>
        <a:blip xmlns:r="http://schemas.openxmlformats.org/officeDocument/2006/relationships" r:embed="rId1"/>
        <a:stretch>
          <a:fillRect/>
        </a:stretch>
      </xdr:blipFill>
      <xdr:spPr>
        <a:xfrm>
          <a:off x="17322800" y="377825"/>
          <a:ext cx="1600199" cy="1600199"/>
        </a:xfrm>
        <a:prstGeom prst="rect">
          <a:avLst/>
        </a:prstGeom>
      </xdr:spPr>
    </xdr:pic>
    <xdr:clientData/>
  </xdr:oneCellAnchor>
  <xdr:twoCellAnchor>
    <xdr:from>
      <xdr:col>1</xdr:col>
      <xdr:colOff>1085850</xdr:colOff>
      <xdr:row>5</xdr:row>
      <xdr:rowOff>180975</xdr:rowOff>
    </xdr:from>
    <xdr:to>
      <xdr:col>2</xdr:col>
      <xdr:colOff>171450</xdr:colOff>
      <xdr:row>10</xdr:row>
      <xdr:rowOff>123825</xdr:rowOff>
    </xdr:to>
    <xdr:sp macro="" textlink="">
      <xdr:nvSpPr>
        <xdr:cNvPr id="3" name="Right Brace 2">
          <a:extLst>
            <a:ext uri="{FF2B5EF4-FFF2-40B4-BE49-F238E27FC236}">
              <a16:creationId xmlns:a16="http://schemas.microsoft.com/office/drawing/2014/main" id="{7FCF43E6-3709-42C3-BC67-E74211E0904D}"/>
            </a:ext>
          </a:extLst>
        </xdr:cNvPr>
        <xdr:cNvSpPr/>
      </xdr:nvSpPr>
      <xdr:spPr>
        <a:xfrm>
          <a:off x="1209675" y="1130300"/>
          <a:ext cx="285750" cy="1076325"/>
        </a:xfrm>
        <a:prstGeom prst="rightBrace">
          <a:avLst>
            <a:gd name="adj1" fmla="val 8333"/>
            <a:gd name="adj2" fmla="val 51818"/>
          </a:avLst>
        </a:prstGeom>
        <a:ln>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1085850</xdr:colOff>
      <xdr:row>21</xdr:row>
      <xdr:rowOff>114300</xdr:rowOff>
    </xdr:from>
    <xdr:to>
      <xdr:col>2</xdr:col>
      <xdr:colOff>168275</xdr:colOff>
      <xdr:row>27</xdr:row>
      <xdr:rowOff>19050</xdr:rowOff>
    </xdr:to>
    <xdr:sp macro="" textlink="">
      <xdr:nvSpPr>
        <xdr:cNvPr id="4" name="Right Brace 3">
          <a:extLst>
            <a:ext uri="{FF2B5EF4-FFF2-40B4-BE49-F238E27FC236}">
              <a16:creationId xmlns:a16="http://schemas.microsoft.com/office/drawing/2014/main" id="{B6CE3E02-F353-4F0A-A276-A6F38DA0D449}"/>
            </a:ext>
          </a:extLst>
        </xdr:cNvPr>
        <xdr:cNvSpPr/>
      </xdr:nvSpPr>
      <xdr:spPr>
        <a:xfrm>
          <a:off x="1209675" y="4305300"/>
          <a:ext cx="282575" cy="1047750"/>
        </a:xfrm>
        <a:prstGeom prst="rightBrace">
          <a:avLst>
            <a:gd name="adj1" fmla="val 8333"/>
            <a:gd name="adj2" fmla="val 51818"/>
          </a:avLst>
        </a:prstGeom>
        <a:ln>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4317DA73-3052-4D3A-8CCB-1787202F21FD}"/>
            </a:ext>
          </a:extLst>
        </xdr:cNvPr>
        <xdr:cNvSpPr>
          <a:spLocks noChangeAspect="1" noChangeArrowheads="1"/>
        </xdr:cNvSpPr>
      </xdr:nvSpPr>
      <xdr:spPr bwMode="auto">
        <a:xfrm>
          <a:off x="2090737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28</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A7FC22BB-E3F2-4CA9-AB1D-D6F94B9EB265}"/>
            </a:ext>
          </a:extLst>
        </xdr:cNvPr>
        <xdr:cNvSpPr>
          <a:spLocks noChangeAspect="1" noChangeArrowheads="1"/>
        </xdr:cNvSpPr>
      </xdr:nvSpPr>
      <xdr:spPr bwMode="auto">
        <a:xfrm>
          <a:off x="240792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D7AD10FF-08A6-4D4A-86F7-9C7CF1599B23}"/>
            </a:ext>
          </a:extLst>
        </xdr:cNvPr>
        <xdr:cNvSpPr>
          <a:spLocks noChangeAspect="1" noChangeArrowheads="1"/>
        </xdr:cNvSpPr>
      </xdr:nvSpPr>
      <xdr:spPr bwMode="auto">
        <a:xfrm>
          <a:off x="32956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CF02DD21-6374-4D71-A2F5-FC18F0F9F9AA}"/>
            </a:ext>
          </a:extLst>
        </xdr:cNvPr>
        <xdr:cNvSpPr>
          <a:spLocks noChangeAspect="1" noChangeArrowheads="1"/>
        </xdr:cNvSpPr>
      </xdr:nvSpPr>
      <xdr:spPr bwMode="auto">
        <a:xfrm>
          <a:off x="3295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4E2809A7-6AEC-4649-84CF-09E57A668172}"/>
            </a:ext>
          </a:extLst>
        </xdr:cNvPr>
        <xdr:cNvSpPr>
          <a:spLocks noChangeAspect="1" noChangeArrowheads="1"/>
        </xdr:cNvSpPr>
      </xdr:nvSpPr>
      <xdr:spPr bwMode="auto">
        <a:xfrm>
          <a:off x="41338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1BCE4B7D-795D-41CA-9E50-7F590D35C113}"/>
            </a:ext>
          </a:extLst>
        </xdr:cNvPr>
        <xdr:cNvSpPr>
          <a:spLocks noChangeAspect="1" noChangeArrowheads="1"/>
        </xdr:cNvSpPr>
      </xdr:nvSpPr>
      <xdr:spPr bwMode="auto">
        <a:xfrm>
          <a:off x="41338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209550"/>
    <xdr:sp macro="" textlink="">
      <xdr:nvSpPr>
        <xdr:cNvPr id="4" name="AutoShape 1" descr="Example 30-year Amortization Schedule">
          <a:extLst>
            <a:ext uri="{FF2B5EF4-FFF2-40B4-BE49-F238E27FC236}">
              <a16:creationId xmlns:a16="http://schemas.microsoft.com/office/drawing/2014/main" id="{053C239B-3805-48F6-9083-B14F4FAF6D2C}"/>
            </a:ext>
          </a:extLst>
        </xdr:cNvPr>
        <xdr:cNvSpPr>
          <a:spLocks noChangeAspect="1" noChangeArrowheads="1"/>
        </xdr:cNvSpPr>
      </xdr:nvSpPr>
      <xdr:spPr bwMode="auto">
        <a:xfrm>
          <a:off x="721042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1" descr="Example 30-year Amortization Schedule">
          <a:extLst>
            <a:ext uri="{FF2B5EF4-FFF2-40B4-BE49-F238E27FC236}">
              <a16:creationId xmlns:a16="http://schemas.microsoft.com/office/drawing/2014/main" id="{86F65460-4D94-4C6D-8386-52F9703B8450}"/>
            </a:ext>
          </a:extLst>
        </xdr:cNvPr>
        <xdr:cNvSpPr>
          <a:spLocks noChangeAspect="1" noChangeArrowheads="1"/>
        </xdr:cNvSpPr>
      </xdr:nvSpPr>
      <xdr:spPr bwMode="auto">
        <a:xfrm>
          <a:off x="72104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209550"/>
    <xdr:sp macro="" textlink="">
      <xdr:nvSpPr>
        <xdr:cNvPr id="6" name="AutoShape 1" descr="Example 30-year Amortization Schedule">
          <a:extLst>
            <a:ext uri="{FF2B5EF4-FFF2-40B4-BE49-F238E27FC236}">
              <a16:creationId xmlns:a16="http://schemas.microsoft.com/office/drawing/2014/main" id="{57CEA796-CA63-4E6C-937D-81F3DB7F4836}"/>
            </a:ext>
          </a:extLst>
        </xdr:cNvPr>
        <xdr:cNvSpPr>
          <a:spLocks noChangeAspect="1" noChangeArrowheads="1"/>
        </xdr:cNvSpPr>
      </xdr:nvSpPr>
      <xdr:spPr bwMode="auto">
        <a:xfrm>
          <a:off x="721042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1" descr="Example 30-year Amortization Schedule">
          <a:extLst>
            <a:ext uri="{FF2B5EF4-FFF2-40B4-BE49-F238E27FC236}">
              <a16:creationId xmlns:a16="http://schemas.microsoft.com/office/drawing/2014/main" id="{75092377-93EF-48CF-BE01-BA96F55CEBAF}"/>
            </a:ext>
          </a:extLst>
        </xdr:cNvPr>
        <xdr:cNvSpPr>
          <a:spLocks noChangeAspect="1" noChangeArrowheads="1"/>
        </xdr:cNvSpPr>
      </xdr:nvSpPr>
      <xdr:spPr bwMode="auto">
        <a:xfrm>
          <a:off x="72104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6738DC05-1680-4CB8-B116-3E47F3AAA458}"/>
            </a:ext>
          </a:extLst>
        </xdr:cNvPr>
        <xdr:cNvSpPr>
          <a:spLocks noChangeAspect="1" noChangeArrowheads="1"/>
        </xdr:cNvSpPr>
      </xdr:nvSpPr>
      <xdr:spPr bwMode="auto">
        <a:xfrm>
          <a:off x="1244917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D454A451-DA40-423E-B57D-211507D14A05}"/>
            </a:ext>
          </a:extLst>
        </xdr:cNvPr>
        <xdr:cNvSpPr>
          <a:spLocks noChangeAspect="1" noChangeArrowheads="1"/>
        </xdr:cNvSpPr>
      </xdr:nvSpPr>
      <xdr:spPr bwMode="auto">
        <a:xfrm>
          <a:off x="124491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8CE799F6-9005-46F1-8FC1-220BF87FB31C}"/>
            </a:ext>
          </a:extLst>
        </xdr:cNvPr>
        <xdr:cNvSpPr>
          <a:spLocks noChangeAspect="1" noChangeArrowheads="1"/>
        </xdr:cNvSpPr>
      </xdr:nvSpPr>
      <xdr:spPr bwMode="auto">
        <a:xfrm>
          <a:off x="728662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05097AB7-0EB2-469E-9FF6-F2E297568750}"/>
            </a:ext>
          </a:extLst>
        </xdr:cNvPr>
        <xdr:cNvSpPr>
          <a:spLocks noChangeAspect="1" noChangeArrowheads="1"/>
        </xdr:cNvSpPr>
      </xdr:nvSpPr>
      <xdr:spPr bwMode="auto">
        <a:xfrm>
          <a:off x="72866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Anthony Greenfield" id="{5C220C60-C672-4B28-93C0-5B19C2821FF7}" userId="129b1cc2e890815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4" dT="2024-08-12T19:21:42.98" personId="{5C220C60-C672-4B28-93C0-5B19C2821FF7}" id="{FC45A925-CEB7-44DD-8D18-048D1A6683BE}">
    <text>We are working on a dynamic schedule for state taxes. Until then, please use this website as a resource for your state taxes and input the tax amount into the green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file.com/state-income-tax-calculators/" TargetMode="Externa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E0EBE-EE35-4A0B-B62B-E13D5E69E8A5}">
  <sheetPr>
    <tabColor theme="9" tint="-0.249977111117893"/>
  </sheetPr>
  <dimension ref="A1"/>
  <sheetViews>
    <sheetView view="pageBreakPreview" zoomScale="60" zoomScaleNormal="100" workbookViewId="0"/>
  </sheetViews>
  <sheetFormatPr defaultRowHeight="14.5" x14ac:dyDescent="0.35"/>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E0CF-47FD-4CE3-940E-8EA1F33BC20B}">
  <sheetPr>
    <tabColor theme="3" tint="0.89999084444715716"/>
    <pageSetUpPr autoPageBreaks="0"/>
  </sheetPr>
  <dimension ref="B2:D15"/>
  <sheetViews>
    <sheetView showGridLines="0" workbookViewId="0"/>
  </sheetViews>
  <sheetFormatPr defaultColWidth="8.7265625" defaultRowHeight="14.5" x14ac:dyDescent="0.35"/>
  <cols>
    <col min="1" max="1" width="4.453125" style="124" customWidth="1"/>
    <col min="2" max="2" width="32.1796875" style="124" customWidth="1"/>
    <col min="3" max="4" width="61.54296875" style="124" customWidth="1"/>
    <col min="5" max="16384" width="8.7265625" style="124"/>
  </cols>
  <sheetData>
    <row r="2" spans="2:4" x14ac:dyDescent="0.35">
      <c r="B2" s="125" t="s">
        <v>177</v>
      </c>
    </row>
    <row r="3" spans="2:4" x14ac:dyDescent="0.35">
      <c r="B3" s="126" t="s">
        <v>178</v>
      </c>
    </row>
    <row r="4" spans="2:4" x14ac:dyDescent="0.35">
      <c r="B4" s="127" t="s">
        <v>179</v>
      </c>
      <c r="C4" s="128"/>
      <c r="D4" s="128"/>
    </row>
    <row r="6" spans="2:4" ht="30" customHeight="1" x14ac:dyDescent="0.35">
      <c r="B6" s="129" t="s">
        <v>180</v>
      </c>
      <c r="C6" s="129" t="s">
        <v>109</v>
      </c>
      <c r="D6" s="129" t="s">
        <v>108</v>
      </c>
    </row>
    <row r="7" spans="2:4" ht="30" customHeight="1" x14ac:dyDescent="0.35">
      <c r="B7" s="130" t="s">
        <v>181</v>
      </c>
      <c r="C7" s="131" t="s">
        <v>182</v>
      </c>
      <c r="D7" s="131" t="s">
        <v>183</v>
      </c>
    </row>
    <row r="8" spans="2:4" ht="30" customHeight="1" x14ac:dyDescent="0.35">
      <c r="B8" s="130" t="s">
        <v>184</v>
      </c>
      <c r="C8" s="131" t="s">
        <v>185</v>
      </c>
      <c r="D8" s="131" t="s">
        <v>185</v>
      </c>
    </row>
    <row r="9" spans="2:4" ht="30" customHeight="1" x14ac:dyDescent="0.35">
      <c r="B9" s="130" t="s">
        <v>186</v>
      </c>
      <c r="C9" s="131" t="s">
        <v>187</v>
      </c>
      <c r="D9" s="131" t="s">
        <v>188</v>
      </c>
    </row>
    <row r="10" spans="2:4" ht="30" customHeight="1" x14ac:dyDescent="0.35">
      <c r="B10" s="130" t="s">
        <v>189</v>
      </c>
      <c r="C10" s="131" t="s">
        <v>190</v>
      </c>
      <c r="D10" s="131" t="s">
        <v>191</v>
      </c>
    </row>
    <row r="11" spans="2:4" ht="30" customHeight="1" x14ac:dyDescent="0.35">
      <c r="B11" s="130" t="s">
        <v>192</v>
      </c>
      <c r="C11" s="131" t="s">
        <v>193</v>
      </c>
      <c r="D11" s="131" t="s">
        <v>194</v>
      </c>
    </row>
    <row r="12" spans="2:4" ht="30" customHeight="1" x14ac:dyDescent="0.35">
      <c r="B12" s="130" t="s">
        <v>195</v>
      </c>
      <c r="C12" s="131" t="s">
        <v>196</v>
      </c>
      <c r="D12" s="131" t="s">
        <v>196</v>
      </c>
    </row>
    <row r="13" spans="2:4" ht="30" customHeight="1" x14ac:dyDescent="0.35">
      <c r="B13" s="130" t="s">
        <v>197</v>
      </c>
      <c r="C13" s="131" t="s">
        <v>198</v>
      </c>
      <c r="D13" s="131" t="s">
        <v>199</v>
      </c>
    </row>
    <row r="14" spans="2:4" ht="30" customHeight="1" x14ac:dyDescent="0.35">
      <c r="B14" s="130" t="s">
        <v>200</v>
      </c>
      <c r="C14" s="131" t="s">
        <v>201</v>
      </c>
      <c r="D14" s="131" t="s">
        <v>202</v>
      </c>
    </row>
    <row r="15" spans="2:4" ht="30" customHeight="1" x14ac:dyDescent="0.35">
      <c r="B15" s="130" t="s">
        <v>203</v>
      </c>
      <c r="C15" s="131" t="s">
        <v>204</v>
      </c>
      <c r="D15" s="131"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9049-7029-41A2-A064-870680F7F2A3}">
  <sheetPr>
    <tabColor theme="3" tint="0.89999084444715716"/>
    <pageSetUpPr autoPageBreaks="0"/>
  </sheetPr>
  <dimension ref="B2:K38"/>
  <sheetViews>
    <sheetView showGridLines="0" workbookViewId="0">
      <pane ySplit="5" topLeftCell="A6" activePane="bottomLeft" state="frozen"/>
      <selection pane="bottomLeft"/>
    </sheetView>
  </sheetViews>
  <sheetFormatPr defaultColWidth="8.7265625" defaultRowHeight="14.5" x14ac:dyDescent="0.35"/>
  <cols>
    <col min="1" max="1" width="4.453125" customWidth="1"/>
    <col min="2" max="2" width="19" customWidth="1"/>
    <col min="3" max="6" width="23.26953125" customWidth="1"/>
    <col min="7" max="8" width="23.26953125" hidden="1" customWidth="1"/>
    <col min="10" max="11" width="13.26953125" style="160" customWidth="1"/>
    <col min="12" max="13" width="13.26953125" customWidth="1"/>
  </cols>
  <sheetData>
    <row r="2" spans="2:6" ht="15" thickBot="1" x14ac:dyDescent="0.4">
      <c r="B2" s="132" t="s">
        <v>206</v>
      </c>
      <c r="C2" s="133"/>
      <c r="D2" s="133"/>
      <c r="E2" s="133"/>
      <c r="F2" s="133"/>
    </row>
    <row r="3" spans="2:6" x14ac:dyDescent="0.35">
      <c r="B3" s="134" t="s">
        <v>207</v>
      </c>
      <c r="C3" s="134"/>
      <c r="D3" s="134"/>
      <c r="E3" s="134"/>
      <c r="F3" s="134"/>
    </row>
    <row r="4" spans="2:6" x14ac:dyDescent="0.35">
      <c r="B4" s="134"/>
      <c r="C4" s="134"/>
      <c r="D4" s="134"/>
      <c r="E4" s="134"/>
      <c r="F4" s="134"/>
    </row>
    <row r="5" spans="2:6" x14ac:dyDescent="0.35">
      <c r="B5" s="134"/>
      <c r="C5" s="134"/>
      <c r="D5" s="134"/>
      <c r="E5" s="134"/>
      <c r="F5" s="134"/>
    </row>
    <row r="7" spans="2:6" x14ac:dyDescent="0.35">
      <c r="B7" s="135" t="s">
        <v>208</v>
      </c>
      <c r="C7" s="64"/>
      <c r="D7" s="64"/>
      <c r="E7" s="64"/>
      <c r="F7" s="64"/>
    </row>
    <row r="9" spans="2:6" ht="28.5" customHeight="1" x14ac:dyDescent="0.35">
      <c r="B9" s="136" t="s">
        <v>209</v>
      </c>
      <c r="C9" s="136" t="s">
        <v>210</v>
      </c>
      <c r="D9" s="136" t="s">
        <v>211</v>
      </c>
      <c r="E9" s="136" t="s">
        <v>212</v>
      </c>
      <c r="F9" s="136" t="s">
        <v>213</v>
      </c>
    </row>
    <row r="10" spans="2:6" x14ac:dyDescent="0.35">
      <c r="B10" s="137">
        <v>0.1</v>
      </c>
      <c r="C10" s="138" t="s">
        <v>214</v>
      </c>
      <c r="D10" s="138" t="s">
        <v>215</v>
      </c>
      <c r="E10" s="138" t="s">
        <v>214</v>
      </c>
      <c r="F10" s="138" t="s">
        <v>216</v>
      </c>
    </row>
    <row r="11" spans="2:6" x14ac:dyDescent="0.35">
      <c r="B11" s="137">
        <v>0.12</v>
      </c>
      <c r="C11" s="138" t="s">
        <v>217</v>
      </c>
      <c r="D11" s="138" t="s">
        <v>218</v>
      </c>
      <c r="E11" s="138" t="s">
        <v>217</v>
      </c>
      <c r="F11" s="138" t="s">
        <v>219</v>
      </c>
    </row>
    <row r="12" spans="2:6" x14ac:dyDescent="0.35">
      <c r="B12" s="137">
        <v>0.22</v>
      </c>
      <c r="C12" s="138" t="s">
        <v>220</v>
      </c>
      <c r="D12" s="138" t="s">
        <v>221</v>
      </c>
      <c r="E12" s="138" t="s">
        <v>220</v>
      </c>
      <c r="F12" s="138" t="s">
        <v>222</v>
      </c>
    </row>
    <row r="13" spans="2:6" x14ac:dyDescent="0.35">
      <c r="B13" s="137">
        <v>0.24</v>
      </c>
      <c r="C13" s="138" t="s">
        <v>223</v>
      </c>
      <c r="D13" s="138" t="s">
        <v>224</v>
      </c>
      <c r="E13" s="138" t="s">
        <v>223</v>
      </c>
      <c r="F13" s="138" t="s">
        <v>225</v>
      </c>
    </row>
    <row r="14" spans="2:6" x14ac:dyDescent="0.35">
      <c r="B14" s="137">
        <v>0.32</v>
      </c>
      <c r="C14" s="138" t="s">
        <v>226</v>
      </c>
      <c r="D14" s="138" t="s">
        <v>227</v>
      </c>
      <c r="E14" s="138" t="s">
        <v>226</v>
      </c>
      <c r="F14" s="138" t="s">
        <v>228</v>
      </c>
    </row>
    <row r="15" spans="2:6" x14ac:dyDescent="0.35">
      <c r="B15" s="137">
        <v>0.35</v>
      </c>
      <c r="C15" s="138" t="s">
        <v>229</v>
      </c>
      <c r="D15" s="138" t="s">
        <v>230</v>
      </c>
      <c r="E15" s="138" t="s">
        <v>231</v>
      </c>
      <c r="F15" s="138" t="s">
        <v>232</v>
      </c>
    </row>
    <row r="16" spans="2:6" x14ac:dyDescent="0.35">
      <c r="B16" s="137">
        <v>0.37</v>
      </c>
      <c r="C16" s="138" t="s">
        <v>233</v>
      </c>
      <c r="D16" s="138" t="s">
        <v>234</v>
      </c>
      <c r="E16" s="138" t="s">
        <v>235</v>
      </c>
      <c r="F16" s="138" t="s">
        <v>236</v>
      </c>
    </row>
    <row r="18" spans="2:6" x14ac:dyDescent="0.35">
      <c r="B18" s="135" t="s">
        <v>237</v>
      </c>
      <c r="C18" s="135"/>
      <c r="D18" s="135"/>
      <c r="E18" s="135"/>
      <c r="F18" s="135"/>
    </row>
    <row r="20" spans="2:6" x14ac:dyDescent="0.35">
      <c r="B20" s="139" t="s">
        <v>13</v>
      </c>
      <c r="C20" s="140">
        <v>170000</v>
      </c>
    </row>
    <row r="22" spans="2:6" x14ac:dyDescent="0.35">
      <c r="B22" s="136" t="s">
        <v>209</v>
      </c>
      <c r="C22" s="136" t="s">
        <v>210</v>
      </c>
      <c r="D22" s="136" t="s">
        <v>238</v>
      </c>
      <c r="E22" s="136" t="s">
        <v>239</v>
      </c>
    </row>
    <row r="23" spans="2:6" x14ac:dyDescent="0.35">
      <c r="B23" s="137">
        <v>0.1</v>
      </c>
      <c r="C23" s="141">
        <f>INDEX(Mapping!$I$2:$L$8,MATCH($B23,Mapping!$H$2:$H$8,0),MATCH($C$22,Mapping!$I$1:$L$1,0))</f>
        <v>11600</v>
      </c>
      <c r="D23" s="141">
        <f>IF($C$20&lt;C23,$C$20,C23)</f>
        <v>11600</v>
      </c>
      <c r="E23" s="141">
        <f>D23*B23</f>
        <v>1160</v>
      </c>
    </row>
    <row r="24" spans="2:6" x14ac:dyDescent="0.35">
      <c r="B24" s="137">
        <v>0.12</v>
      </c>
      <c r="C24" s="141">
        <f>INDEX(Mapping!$I$2:$L$8,MATCH($B24,Mapping!$H$2:$H$8,0),MATCH($C$22,Mapping!$I$1:$L$1,0))</f>
        <v>47150</v>
      </c>
      <c r="D24" s="141">
        <f>IF($C$20&gt;C24,C24,IF(AND($C$20&lt;=C24,$C$20&gt;C23),$C$20,0))</f>
        <v>47150</v>
      </c>
      <c r="E24" s="141">
        <f>IF(D24=0,0,(D24-D23)*B24)</f>
        <v>4266</v>
      </c>
    </row>
    <row r="25" spans="2:6" x14ac:dyDescent="0.35">
      <c r="B25" s="137">
        <v>0.22</v>
      </c>
      <c r="C25" s="141">
        <f>INDEX(Mapping!$I$2:$L$8,MATCH($B25,Mapping!$H$2:$H$8,0),MATCH($C$22,Mapping!$I$1:$L$1,0))</f>
        <v>100525</v>
      </c>
      <c r="D25" s="141">
        <f>IF($C$20&gt;C25,C25,IF(AND($C$20&lt;=C25,$C$20&gt;C24),$C$20,0))</f>
        <v>100525</v>
      </c>
      <c r="E25" s="141">
        <f t="shared" ref="E25:E29" si="0">IF(D25=0,0,(D25-D24)*B25)</f>
        <v>11742.5</v>
      </c>
    </row>
    <row r="26" spans="2:6" x14ac:dyDescent="0.35">
      <c r="B26" s="137">
        <v>0.24</v>
      </c>
      <c r="C26" s="141">
        <f>INDEX(Mapping!$I$2:$L$8,MATCH($B26,Mapping!$H$2:$H$8,0),MATCH($C$22,Mapping!$I$1:$L$1,0))</f>
        <v>191950</v>
      </c>
      <c r="D26" s="141">
        <f>IF($C$20&gt;C26,C26,IF(AND($C$20&lt;=C26,$C$20&gt;C25),$C$20,0))</f>
        <v>170000</v>
      </c>
      <c r="E26" s="141">
        <f t="shared" si="0"/>
        <v>16674</v>
      </c>
    </row>
    <row r="27" spans="2:6" x14ac:dyDescent="0.35">
      <c r="B27" s="137">
        <v>0.32</v>
      </c>
      <c r="C27" s="141">
        <f>INDEX(Mapping!$I$2:$L$8,MATCH($B27,Mapping!$H$2:$H$8,0),MATCH($C$22,Mapping!$I$1:$L$1,0))</f>
        <v>243725</v>
      </c>
      <c r="D27" s="141">
        <f>IF($C$20&gt;C27,C27,IF(AND($C$20&lt;=C27,$C$20&gt;C26),$C$20,0))</f>
        <v>0</v>
      </c>
      <c r="E27" s="141">
        <f t="shared" si="0"/>
        <v>0</v>
      </c>
    </row>
    <row r="28" spans="2:6" x14ac:dyDescent="0.35">
      <c r="B28" s="137">
        <v>0.35</v>
      </c>
      <c r="C28" s="141">
        <f>INDEX(Mapping!$I$2:$L$8,MATCH($B28,Mapping!$H$2:$H$8,0),MATCH($C$22,Mapping!$I$1:$L$1,0))</f>
        <v>609350</v>
      </c>
      <c r="D28" s="141">
        <f>IF($C$20&gt;C28,C28,IF(AND($C$20&lt;=C28,$C$20&gt;C27),$C$20,0))</f>
        <v>0</v>
      </c>
      <c r="E28" s="141">
        <f t="shared" si="0"/>
        <v>0</v>
      </c>
    </row>
    <row r="29" spans="2:6" ht="15" thickBot="1" x14ac:dyDescent="0.4">
      <c r="B29" s="142">
        <v>0.37</v>
      </c>
      <c r="C29" s="143">
        <f>INDEX(Mapping!$I$2:$L$8,MATCH($B29,Mapping!$H$2:$H$8,0),MATCH($C$22,Mapping!$I$1:$L$1,0))</f>
        <v>609351</v>
      </c>
      <c r="D29" s="143">
        <f>IF($C$20&gt;=C29,C20,0)</f>
        <v>0</v>
      </c>
      <c r="E29" s="143">
        <f t="shared" si="0"/>
        <v>0</v>
      </c>
    </row>
    <row r="30" spans="2:6" ht="18" customHeight="1" thickBot="1" x14ac:dyDescent="0.4">
      <c r="B30" s="144" t="s">
        <v>240</v>
      </c>
      <c r="C30" s="145"/>
      <c r="D30" s="146"/>
      <c r="E30" s="147">
        <f>SUM(E23:E29)</f>
        <v>33842.5</v>
      </c>
    </row>
    <row r="31" spans="2:6" ht="18" customHeight="1" thickTop="1" x14ac:dyDescent="0.35">
      <c r="B31" s="148" t="s">
        <v>241</v>
      </c>
      <c r="C31" s="149"/>
      <c r="D31" s="150"/>
      <c r="E31" s="151">
        <f>E30/C20</f>
        <v>0.1990735294117647</v>
      </c>
    </row>
    <row r="33" spans="2:8" x14ac:dyDescent="0.35">
      <c r="B33" s="48" t="s">
        <v>240</v>
      </c>
      <c r="E33" s="152">
        <f>E30</f>
        <v>33842.5</v>
      </c>
    </row>
    <row r="34" spans="2:8" x14ac:dyDescent="0.35">
      <c r="B34" s="153" t="s">
        <v>242</v>
      </c>
      <c r="E34" s="140">
        <v>0</v>
      </c>
      <c r="G34" s="154" t="s">
        <v>243</v>
      </c>
      <c r="H34" s="154" t="s">
        <v>244</v>
      </c>
    </row>
    <row r="35" spans="2:8" x14ac:dyDescent="0.35">
      <c r="B35" s="48" t="s">
        <v>245</v>
      </c>
      <c r="C35" s="155" t="s">
        <v>243</v>
      </c>
      <c r="E35" s="156">
        <f>_xlfn.XLOOKUP(C35,G34:H34,G35:H35,0,0,1)</f>
        <v>1045.32</v>
      </c>
      <c r="G35" s="157">
        <f>IF(C20&gt;168601,168600*0.0062,C20*0.0062)</f>
        <v>1045.32</v>
      </c>
      <c r="H35" s="157">
        <f>IF(C20&gt;168601,168600*0.0124,C20*0.0124)</f>
        <v>2090.64</v>
      </c>
    </row>
    <row r="36" spans="2:8" x14ac:dyDescent="0.35">
      <c r="B36" s="48" t="s">
        <v>246</v>
      </c>
      <c r="E36" s="152">
        <f>C20*0.00145</f>
        <v>246.49999999999997</v>
      </c>
    </row>
    <row r="37" spans="2:8" ht="15" thickBot="1" x14ac:dyDescent="0.4">
      <c r="B37" s="158" t="s">
        <v>247</v>
      </c>
      <c r="C37" s="158"/>
      <c r="D37" s="158"/>
      <c r="E37" s="159">
        <f>SUM(E33:E36)</f>
        <v>35134.32</v>
      </c>
    </row>
    <row r="38" spans="2:8" ht="15" thickTop="1" x14ac:dyDescent="0.35"/>
  </sheetData>
  <mergeCells count="1">
    <mergeCell ref="B3:F5"/>
  </mergeCells>
  <hyperlinks>
    <hyperlink ref="B34" r:id="rId1" xr:uid="{BB583D53-5D6C-4BE5-A929-BF45556523D4}"/>
  </hyperlinks>
  <pageMargins left="0.7" right="0.7" top="0.75" bottom="0.75" header="0.3" footer="0.3"/>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8685A8D-8091-44C1-8F00-4792158D1A3B}">
          <x14:formula1>
            <xm:f>Mapping!$N$1:$N$2</xm:f>
          </x14:formula1>
          <xm:sqref>C35</xm:sqref>
        </x14:dataValidation>
        <x14:dataValidation type="list" allowBlank="1" showInputMessage="1" showErrorMessage="1" xr:uid="{FFFD0886-2D47-4B5A-B087-F620F857640D}">
          <x14:formula1>
            <xm:f>Mapping!$F:$F</xm:f>
          </x14:formula1>
          <xm:sqref>C22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2D2E-1F0D-42F8-8B2E-C8D0516B59FD}">
  <sheetPr>
    <pageSetUpPr autoPageBreaks="0"/>
  </sheetPr>
  <dimension ref="A1:AB264"/>
  <sheetViews>
    <sheetView workbookViewId="0"/>
  </sheetViews>
  <sheetFormatPr defaultRowHeight="14.5" x14ac:dyDescent="0.35"/>
  <cols>
    <col min="1" max="1" width="16.1796875" bestFit="1" customWidth="1"/>
    <col min="2" max="2" width="8.7265625" style="183"/>
    <col min="4" max="4" width="25.7265625" bestFit="1" customWidth="1"/>
    <col min="6" max="6" width="22.7265625" bestFit="1" customWidth="1"/>
    <col min="8" max="8" width="23.26953125" style="183" customWidth="1"/>
    <col min="9" max="12" width="23.26953125" customWidth="1"/>
    <col min="17" max="28" width="19.54296875" customWidth="1"/>
  </cols>
  <sheetData>
    <row r="1" spans="1:28" ht="16" thickBot="1" x14ac:dyDescent="0.5">
      <c r="A1" s="161" t="s">
        <v>14</v>
      </c>
      <c r="B1" s="162">
        <v>1</v>
      </c>
      <c r="D1" t="s">
        <v>13</v>
      </c>
      <c r="F1" t="s">
        <v>210</v>
      </c>
      <c r="H1" s="136" t="s">
        <v>209</v>
      </c>
      <c r="I1" s="136" t="s">
        <v>210</v>
      </c>
      <c r="J1" s="136" t="s">
        <v>211</v>
      </c>
      <c r="K1" s="136" t="s">
        <v>212</v>
      </c>
      <c r="L1" s="136" t="s">
        <v>213</v>
      </c>
      <c r="N1" t="s">
        <v>243</v>
      </c>
      <c r="Q1" s="163"/>
      <c r="R1" s="164" t="s">
        <v>248</v>
      </c>
      <c r="S1" s="165"/>
      <c r="T1" s="165"/>
      <c r="U1" s="164" t="s">
        <v>249</v>
      </c>
      <c r="V1" s="165"/>
      <c r="W1" s="165"/>
      <c r="X1" s="164" t="s">
        <v>250</v>
      </c>
      <c r="Y1" s="165"/>
      <c r="Z1" s="164" t="s">
        <v>251</v>
      </c>
      <c r="AA1" s="165"/>
      <c r="AB1" s="165"/>
    </row>
    <row r="2" spans="1:28" ht="16" thickTop="1" x14ac:dyDescent="0.45">
      <c r="A2" s="161" t="s">
        <v>252</v>
      </c>
      <c r="B2" s="162">
        <v>2</v>
      </c>
      <c r="D2" t="s">
        <v>253</v>
      </c>
      <c r="F2" t="s">
        <v>211</v>
      </c>
      <c r="H2" s="137">
        <v>0.1</v>
      </c>
      <c r="I2" s="141">
        <v>11600</v>
      </c>
      <c r="J2" s="141">
        <v>23200</v>
      </c>
      <c r="K2" s="141">
        <v>11600</v>
      </c>
      <c r="L2" s="141">
        <v>16550</v>
      </c>
      <c r="N2" t="s">
        <v>244</v>
      </c>
      <c r="Q2" s="166" t="s">
        <v>254</v>
      </c>
      <c r="R2" s="167" t="s">
        <v>255</v>
      </c>
      <c r="S2" s="168"/>
      <c r="T2" s="166" t="s">
        <v>256</v>
      </c>
      <c r="U2" s="169" t="s">
        <v>255</v>
      </c>
      <c r="V2" s="168"/>
      <c r="W2" s="166" t="s">
        <v>256</v>
      </c>
      <c r="X2" s="170" t="s">
        <v>210</v>
      </c>
      <c r="Y2" s="171" t="s">
        <v>257</v>
      </c>
      <c r="Z2" s="170" t="s">
        <v>210</v>
      </c>
      <c r="AA2" s="171" t="s">
        <v>257</v>
      </c>
      <c r="AB2" s="171" t="s">
        <v>258</v>
      </c>
    </row>
    <row r="3" spans="1:28" ht="15.5" x14ac:dyDescent="0.45">
      <c r="A3" s="161" t="s">
        <v>259</v>
      </c>
      <c r="B3" s="162">
        <v>2.1666666666666665</v>
      </c>
      <c r="D3" t="s">
        <v>260</v>
      </c>
      <c r="F3" t="s">
        <v>212</v>
      </c>
      <c r="H3" s="137">
        <v>0.12</v>
      </c>
      <c r="I3" s="141">
        <v>47150</v>
      </c>
      <c r="J3" s="141">
        <v>94300</v>
      </c>
      <c r="K3" s="141">
        <v>47150</v>
      </c>
      <c r="L3" s="141">
        <v>63100</v>
      </c>
      <c r="Q3" s="172" t="s">
        <v>261</v>
      </c>
      <c r="R3" s="173">
        <v>0.02</v>
      </c>
      <c r="S3" s="174" t="s">
        <v>262</v>
      </c>
      <c r="T3" s="175">
        <v>0</v>
      </c>
      <c r="U3" s="176">
        <v>0.02</v>
      </c>
      <c r="V3" s="174" t="s">
        <v>262</v>
      </c>
      <c r="W3" s="175">
        <v>0</v>
      </c>
      <c r="X3" s="177">
        <v>3000</v>
      </c>
      <c r="Y3" s="175">
        <v>8500</v>
      </c>
      <c r="Z3" s="177">
        <v>1500</v>
      </c>
      <c r="AA3" s="175">
        <v>3000</v>
      </c>
      <c r="AB3" s="175">
        <v>1000</v>
      </c>
    </row>
    <row r="4" spans="1:28" ht="15.5" x14ac:dyDescent="0.45">
      <c r="A4" s="161" t="s">
        <v>263</v>
      </c>
      <c r="B4" s="162">
        <v>4.333333333333333</v>
      </c>
      <c r="D4" t="s">
        <v>264</v>
      </c>
      <c r="F4" t="s">
        <v>213</v>
      </c>
      <c r="H4" s="137">
        <v>0.22</v>
      </c>
      <c r="I4" s="141">
        <v>100525</v>
      </c>
      <c r="J4" s="141">
        <v>201050</v>
      </c>
      <c r="K4" s="141">
        <v>100525</v>
      </c>
      <c r="L4" s="141">
        <v>100500</v>
      </c>
      <c r="Q4" s="172" t="s">
        <v>265</v>
      </c>
      <c r="R4" s="173">
        <v>0.04</v>
      </c>
      <c r="S4" s="174" t="s">
        <v>262</v>
      </c>
      <c r="T4" s="175">
        <v>500</v>
      </c>
      <c r="U4" s="176">
        <v>0.04</v>
      </c>
      <c r="V4" s="174" t="s">
        <v>262</v>
      </c>
      <c r="W4" s="175">
        <v>1000</v>
      </c>
      <c r="X4" s="178"/>
      <c r="Y4" s="178"/>
      <c r="Z4" s="179"/>
      <c r="AA4" s="180"/>
      <c r="AB4" s="181"/>
    </row>
    <row r="5" spans="1:28" ht="15.5" x14ac:dyDescent="0.45">
      <c r="A5" s="182" t="s">
        <v>266</v>
      </c>
      <c r="B5" s="183">
        <f>4/12</f>
        <v>0.33333333333333331</v>
      </c>
      <c r="D5" t="s">
        <v>267</v>
      </c>
      <c r="H5" s="137">
        <v>0.24</v>
      </c>
      <c r="I5" s="141">
        <v>191950</v>
      </c>
      <c r="J5" s="141">
        <v>383900</v>
      </c>
      <c r="K5" s="141">
        <v>191950</v>
      </c>
      <c r="L5" s="141">
        <v>191950</v>
      </c>
      <c r="Q5" s="184"/>
      <c r="R5" s="173">
        <v>0.05</v>
      </c>
      <c r="S5" s="174" t="s">
        <v>262</v>
      </c>
      <c r="T5" s="175">
        <v>3000</v>
      </c>
      <c r="U5" s="176">
        <v>0.05</v>
      </c>
      <c r="V5" s="174" t="s">
        <v>262</v>
      </c>
      <c r="W5" s="175">
        <v>6000</v>
      </c>
      <c r="X5" s="179"/>
      <c r="Y5" s="180"/>
      <c r="Z5" s="179"/>
      <c r="AA5" s="180"/>
      <c r="AB5" s="172"/>
    </row>
    <row r="6" spans="1:28" ht="15.5" x14ac:dyDescent="0.45">
      <c r="A6" s="182" t="s">
        <v>268</v>
      </c>
      <c r="B6" s="183">
        <f>1/12</f>
        <v>8.3333333333333329E-2</v>
      </c>
      <c r="D6" t="s">
        <v>269</v>
      </c>
      <c r="H6" s="137">
        <v>0.32</v>
      </c>
      <c r="I6" s="141">
        <v>243725</v>
      </c>
      <c r="J6" s="141">
        <v>487450</v>
      </c>
      <c r="K6" s="141">
        <v>243725</v>
      </c>
      <c r="L6" s="141">
        <v>243700</v>
      </c>
      <c r="Q6" s="184"/>
      <c r="R6" s="185"/>
      <c r="S6" s="174"/>
      <c r="T6" s="172"/>
      <c r="U6" s="186"/>
      <c r="V6" s="174"/>
      <c r="W6" s="172"/>
      <c r="X6" s="179"/>
      <c r="Y6" s="180"/>
      <c r="Z6" s="179"/>
      <c r="AA6" s="180"/>
      <c r="AB6" s="180"/>
    </row>
    <row r="7" spans="1:28" ht="15.5" x14ac:dyDescent="0.45">
      <c r="D7" t="s">
        <v>270</v>
      </c>
      <c r="H7" s="137">
        <v>0.35</v>
      </c>
      <c r="I7" s="141">
        <v>609350</v>
      </c>
      <c r="J7" s="141">
        <v>731200</v>
      </c>
      <c r="K7" s="141">
        <v>365600</v>
      </c>
      <c r="L7" s="141">
        <v>609350</v>
      </c>
      <c r="Q7" s="172" t="s">
        <v>271</v>
      </c>
      <c r="R7" s="187" t="s">
        <v>272</v>
      </c>
      <c r="S7" s="188"/>
      <c r="T7" s="188"/>
      <c r="U7" s="187" t="s">
        <v>272</v>
      </c>
      <c r="V7" s="188"/>
      <c r="W7" s="188"/>
      <c r="X7" s="179" t="s">
        <v>273</v>
      </c>
      <c r="Y7" s="180" t="s">
        <v>273</v>
      </c>
      <c r="Z7" s="179" t="s">
        <v>273</v>
      </c>
      <c r="AA7" s="180" t="s">
        <v>273</v>
      </c>
      <c r="AB7" s="180" t="s">
        <v>273</v>
      </c>
    </row>
    <row r="8" spans="1:28" ht="15.5" x14ac:dyDescent="0.45">
      <c r="D8" t="s">
        <v>274</v>
      </c>
      <c r="H8" s="137">
        <v>0.37</v>
      </c>
      <c r="I8" s="141">
        <v>609351</v>
      </c>
      <c r="J8" s="141">
        <v>731201</v>
      </c>
      <c r="K8" s="141">
        <v>365601</v>
      </c>
      <c r="L8" s="141">
        <v>609351</v>
      </c>
      <c r="Q8" s="184"/>
      <c r="R8" s="185"/>
      <c r="S8" s="174"/>
      <c r="T8" s="172"/>
      <c r="U8" s="186"/>
      <c r="V8" s="174"/>
      <c r="W8" s="172"/>
      <c r="X8" s="179"/>
      <c r="Y8" s="180"/>
      <c r="Z8" s="179"/>
      <c r="AA8" s="180"/>
      <c r="AB8" s="180"/>
    </row>
    <row r="9" spans="1:28" ht="15.5" x14ac:dyDescent="0.45">
      <c r="D9" t="s">
        <v>275</v>
      </c>
      <c r="Q9" s="172" t="s">
        <v>276</v>
      </c>
      <c r="R9" s="173">
        <v>2.5000000000000001E-2</v>
      </c>
      <c r="S9" s="174" t="s">
        <v>262</v>
      </c>
      <c r="T9" s="175">
        <v>0</v>
      </c>
      <c r="U9" s="176">
        <v>2.5000000000000001E-2</v>
      </c>
      <c r="V9" s="174" t="s">
        <v>262</v>
      </c>
      <c r="W9" s="175">
        <v>0</v>
      </c>
      <c r="X9" s="177">
        <v>14600</v>
      </c>
      <c r="Y9" s="175">
        <v>29200</v>
      </c>
      <c r="Z9" s="177" t="s">
        <v>273</v>
      </c>
      <c r="AA9" s="175" t="s">
        <v>273</v>
      </c>
      <c r="AB9" s="180" t="s">
        <v>277</v>
      </c>
    </row>
    <row r="10" spans="1:28" ht="15.5" x14ac:dyDescent="0.45">
      <c r="D10" t="s">
        <v>278</v>
      </c>
      <c r="Q10" s="184"/>
      <c r="R10" s="189"/>
      <c r="S10" s="174"/>
      <c r="T10" s="172"/>
      <c r="U10" s="186"/>
      <c r="V10" s="174"/>
      <c r="W10" s="172"/>
      <c r="X10" s="179"/>
      <c r="Y10" s="180"/>
      <c r="Z10" s="179"/>
      <c r="AA10" s="180"/>
      <c r="AB10" s="180"/>
    </row>
    <row r="11" spans="1:28" ht="15.5" x14ac:dyDescent="0.45">
      <c r="D11" t="s">
        <v>279</v>
      </c>
      <c r="Q11" s="172" t="s">
        <v>280</v>
      </c>
      <c r="R11" s="173">
        <v>0.02</v>
      </c>
      <c r="S11" s="174" t="s">
        <v>262</v>
      </c>
      <c r="T11" s="175">
        <v>0</v>
      </c>
      <c r="U11" s="176">
        <v>0.02</v>
      </c>
      <c r="V11" s="174" t="s">
        <v>262</v>
      </c>
      <c r="W11" s="175">
        <v>0</v>
      </c>
      <c r="X11" s="177">
        <v>2340</v>
      </c>
      <c r="Y11" s="175">
        <v>4680</v>
      </c>
      <c r="Z11" s="180" t="s">
        <v>281</v>
      </c>
      <c r="AA11" s="180" t="s">
        <v>282</v>
      </c>
      <c r="AB11" s="180" t="s">
        <v>281</v>
      </c>
    </row>
    <row r="12" spans="1:28" ht="15.5" x14ac:dyDescent="0.45">
      <c r="D12" t="s">
        <v>283</v>
      </c>
      <c r="Q12" s="172" t="s">
        <v>284</v>
      </c>
      <c r="R12" s="173">
        <v>0.04</v>
      </c>
      <c r="S12" s="174" t="s">
        <v>262</v>
      </c>
      <c r="T12" s="175">
        <v>4400</v>
      </c>
      <c r="U12" s="176">
        <v>0.04</v>
      </c>
      <c r="V12" s="174" t="s">
        <v>262</v>
      </c>
      <c r="W12" s="175">
        <v>4400</v>
      </c>
      <c r="X12" s="179"/>
      <c r="Y12" s="180"/>
      <c r="Z12" s="179"/>
      <c r="AA12" s="180"/>
      <c r="AB12" s="180"/>
    </row>
    <row r="13" spans="1:28" ht="15.5" x14ac:dyDescent="0.45">
      <c r="D13" t="s">
        <v>285</v>
      </c>
      <c r="Q13" s="184"/>
      <c r="R13" s="176">
        <v>4.3999999999999997E-2</v>
      </c>
      <c r="S13" s="174" t="s">
        <v>262</v>
      </c>
      <c r="T13" s="175">
        <v>8800</v>
      </c>
      <c r="U13" s="176">
        <v>4.3999999999999997E-2</v>
      </c>
      <c r="V13" s="174" t="s">
        <v>262</v>
      </c>
      <c r="W13" s="175">
        <v>8800</v>
      </c>
      <c r="X13" s="179"/>
      <c r="Y13" s="180"/>
      <c r="Z13" s="179"/>
      <c r="AA13" s="180"/>
      <c r="AB13" s="180"/>
    </row>
    <row r="14" spans="1:28" ht="15.5" x14ac:dyDescent="0.45">
      <c r="D14" t="s">
        <v>286</v>
      </c>
      <c r="Q14" s="184"/>
      <c r="R14" s="190"/>
      <c r="S14" s="174"/>
      <c r="T14" s="175"/>
      <c r="U14" s="176"/>
      <c r="V14" s="174"/>
      <c r="W14" s="175"/>
      <c r="X14" s="179"/>
      <c r="Y14" s="180"/>
      <c r="Z14" s="179"/>
      <c r="AA14" s="180"/>
      <c r="AB14" s="180"/>
    </row>
    <row r="15" spans="1:28" ht="15.5" x14ac:dyDescent="0.45">
      <c r="D15" t="s">
        <v>287</v>
      </c>
      <c r="Q15" s="172" t="s">
        <v>288</v>
      </c>
      <c r="R15" s="176">
        <v>0.01</v>
      </c>
      <c r="S15" s="172" t="s">
        <v>262</v>
      </c>
      <c r="T15" s="175">
        <v>0</v>
      </c>
      <c r="U15" s="176">
        <v>0.01</v>
      </c>
      <c r="V15" s="174" t="s">
        <v>262</v>
      </c>
      <c r="W15" s="175">
        <v>0</v>
      </c>
      <c r="X15" s="177">
        <v>5363</v>
      </c>
      <c r="Y15" s="175">
        <v>10726</v>
      </c>
      <c r="Z15" s="191" t="s">
        <v>289</v>
      </c>
      <c r="AA15" s="191" t="s">
        <v>290</v>
      </c>
      <c r="AB15" s="180" t="s">
        <v>291</v>
      </c>
    </row>
    <row r="16" spans="1:28" ht="15.5" x14ac:dyDescent="0.45">
      <c r="D16" t="s">
        <v>169</v>
      </c>
      <c r="Q16" s="172" t="s">
        <v>292</v>
      </c>
      <c r="R16" s="176">
        <v>0.02</v>
      </c>
      <c r="S16" s="172" t="s">
        <v>262</v>
      </c>
      <c r="T16" s="175">
        <v>10412</v>
      </c>
      <c r="U16" s="176">
        <v>0.02</v>
      </c>
      <c r="V16" s="174" t="s">
        <v>262</v>
      </c>
      <c r="W16" s="175">
        <v>20824</v>
      </c>
      <c r="X16" s="179"/>
      <c r="Y16" s="180"/>
      <c r="Z16" s="179"/>
      <c r="AA16" s="180"/>
      <c r="AB16" s="180"/>
    </row>
    <row r="17" spans="4:28" ht="15.5" x14ac:dyDescent="0.45">
      <c r="D17" t="s">
        <v>293</v>
      </c>
      <c r="Q17" s="184"/>
      <c r="R17" s="176">
        <v>0.04</v>
      </c>
      <c r="S17" s="172" t="s">
        <v>262</v>
      </c>
      <c r="T17" s="175">
        <v>24684</v>
      </c>
      <c r="U17" s="176">
        <v>0.04</v>
      </c>
      <c r="V17" s="174" t="s">
        <v>262</v>
      </c>
      <c r="W17" s="175">
        <v>49368</v>
      </c>
      <c r="X17" s="179"/>
      <c r="Y17" s="180"/>
      <c r="Z17" s="179"/>
      <c r="AA17" s="180"/>
      <c r="AB17" s="180"/>
    </row>
    <row r="18" spans="4:28" ht="15.5" x14ac:dyDescent="0.45">
      <c r="D18" t="s">
        <v>294</v>
      </c>
      <c r="Q18" s="184"/>
      <c r="R18" s="176">
        <v>0.06</v>
      </c>
      <c r="S18" s="172" t="s">
        <v>262</v>
      </c>
      <c r="T18" s="175">
        <v>38959</v>
      </c>
      <c r="U18" s="176">
        <v>0.06</v>
      </c>
      <c r="V18" s="174" t="s">
        <v>262</v>
      </c>
      <c r="W18" s="175">
        <v>77918</v>
      </c>
      <c r="X18" s="179"/>
      <c r="Y18" s="180"/>
      <c r="Z18" s="179"/>
      <c r="AA18" s="180"/>
      <c r="AB18" s="180"/>
    </row>
    <row r="19" spans="4:28" ht="15.5" x14ac:dyDescent="0.45">
      <c r="D19" t="s">
        <v>295</v>
      </c>
      <c r="Q19" s="184"/>
      <c r="R19" s="176">
        <v>0.08</v>
      </c>
      <c r="S19" s="172" t="s">
        <v>262</v>
      </c>
      <c r="T19" s="175">
        <v>54081</v>
      </c>
      <c r="U19" s="176">
        <v>0.08</v>
      </c>
      <c r="V19" s="174" t="s">
        <v>262</v>
      </c>
      <c r="W19" s="175">
        <v>108162</v>
      </c>
      <c r="X19" s="179"/>
      <c r="Y19" s="180"/>
      <c r="Z19" s="179"/>
      <c r="AA19" s="180"/>
      <c r="AB19" s="180"/>
    </row>
    <row r="20" spans="4:28" ht="15.5" x14ac:dyDescent="0.45">
      <c r="D20" t="s">
        <v>296</v>
      </c>
      <c r="Q20" s="184"/>
      <c r="R20" s="176">
        <v>9.2999999999999999E-2</v>
      </c>
      <c r="S20" s="172" t="s">
        <v>262</v>
      </c>
      <c r="T20" s="175">
        <v>68350</v>
      </c>
      <c r="U20" s="176">
        <v>9.2999999999999999E-2</v>
      </c>
      <c r="V20" s="174" t="s">
        <v>262</v>
      </c>
      <c r="W20" s="175">
        <v>136700</v>
      </c>
      <c r="X20" s="179"/>
      <c r="Y20" s="180"/>
      <c r="Z20" s="179"/>
      <c r="AA20" s="180"/>
      <c r="AB20" s="180"/>
    </row>
    <row r="21" spans="4:28" ht="15.5" x14ac:dyDescent="0.45">
      <c r="Q21" s="184"/>
      <c r="R21" s="176">
        <v>0.10299999999999999</v>
      </c>
      <c r="S21" s="172" t="s">
        <v>262</v>
      </c>
      <c r="T21" s="175">
        <v>349137</v>
      </c>
      <c r="U21" s="176">
        <v>0.10299999999999999</v>
      </c>
      <c r="V21" s="174" t="s">
        <v>262</v>
      </c>
      <c r="W21" s="175">
        <v>698274</v>
      </c>
      <c r="X21" s="179"/>
      <c r="Y21" s="180"/>
      <c r="Z21" s="179"/>
      <c r="AA21" s="180"/>
      <c r="AB21" s="180"/>
    </row>
    <row r="22" spans="4:28" ht="15.5" x14ac:dyDescent="0.45">
      <c r="Q22" s="184"/>
      <c r="R22" s="176">
        <v>0.113</v>
      </c>
      <c r="S22" s="172" t="s">
        <v>262</v>
      </c>
      <c r="T22" s="175">
        <v>418961</v>
      </c>
      <c r="U22" s="176">
        <v>0.113</v>
      </c>
      <c r="V22" s="174" t="s">
        <v>262</v>
      </c>
      <c r="W22" s="175">
        <v>837922</v>
      </c>
      <c r="X22" s="179"/>
      <c r="Y22" s="180"/>
      <c r="Z22" s="179"/>
      <c r="AA22" s="180"/>
      <c r="AB22" s="180"/>
    </row>
    <row r="23" spans="4:28" ht="15.5" x14ac:dyDescent="0.45">
      <c r="Q23" s="184"/>
      <c r="R23" s="176">
        <v>0.123</v>
      </c>
      <c r="S23" s="172" t="s">
        <v>262</v>
      </c>
      <c r="T23" s="175">
        <v>698271</v>
      </c>
      <c r="U23" s="176">
        <v>0.123</v>
      </c>
      <c r="V23" s="174" t="s">
        <v>262</v>
      </c>
      <c r="W23" s="181">
        <v>1000000</v>
      </c>
      <c r="X23" s="176"/>
      <c r="Y23" s="172"/>
      <c r="Z23" s="179"/>
      <c r="AA23" s="180"/>
      <c r="AB23" s="180"/>
    </row>
    <row r="24" spans="4:28" ht="15.5" x14ac:dyDescent="0.45">
      <c r="Q24" s="184"/>
      <c r="R24" s="173">
        <v>0.13300000000000001</v>
      </c>
      <c r="S24" s="174" t="s">
        <v>262</v>
      </c>
      <c r="T24" s="175">
        <v>1000000</v>
      </c>
      <c r="U24" s="176">
        <v>0.13300000000000001</v>
      </c>
      <c r="V24" s="174" t="s">
        <v>262</v>
      </c>
      <c r="W24" s="181">
        <v>1396542</v>
      </c>
      <c r="X24" s="176"/>
      <c r="Y24" s="172"/>
      <c r="Z24" s="179"/>
      <c r="AA24" s="180"/>
      <c r="AB24" s="180"/>
    </row>
    <row r="25" spans="4:28" ht="15.5" x14ac:dyDescent="0.45">
      <c r="Q25" s="184"/>
      <c r="R25" s="185"/>
      <c r="S25" s="174"/>
      <c r="T25" s="172"/>
      <c r="U25" s="186"/>
      <c r="V25" s="174"/>
      <c r="W25" s="192"/>
      <c r="X25" s="179"/>
      <c r="Y25" s="180"/>
      <c r="Z25" s="179"/>
      <c r="AA25" s="180"/>
      <c r="AB25" s="180"/>
    </row>
    <row r="26" spans="4:28" ht="15.5" x14ac:dyDescent="0.45">
      <c r="Q26" s="172" t="s">
        <v>297</v>
      </c>
      <c r="R26" s="193">
        <v>4.3999999999999997E-2</v>
      </c>
      <c r="S26" s="174" t="s">
        <v>262</v>
      </c>
      <c r="T26" s="194">
        <v>0</v>
      </c>
      <c r="U26" s="195">
        <v>4.3999999999999997E-2</v>
      </c>
      <c r="V26" s="174" t="s">
        <v>262</v>
      </c>
      <c r="W26" s="194">
        <v>0</v>
      </c>
      <c r="X26" s="177">
        <v>14600</v>
      </c>
      <c r="Y26" s="175">
        <v>29200</v>
      </c>
      <c r="Z26" s="179" t="s">
        <v>273</v>
      </c>
      <c r="AA26" s="180" t="s">
        <v>273</v>
      </c>
      <c r="AB26" s="180" t="s">
        <v>273</v>
      </c>
    </row>
    <row r="27" spans="4:28" ht="15.5" x14ac:dyDescent="0.45">
      <c r="Q27" s="184"/>
      <c r="R27" s="185"/>
      <c r="S27" s="174"/>
      <c r="T27" s="172"/>
      <c r="U27" s="186"/>
      <c r="V27" s="174"/>
      <c r="W27" s="172"/>
      <c r="X27" s="179"/>
      <c r="Y27" s="180"/>
      <c r="Z27" s="179"/>
      <c r="AA27" s="180"/>
      <c r="AB27" s="180"/>
    </row>
    <row r="28" spans="4:28" ht="15.5" x14ac:dyDescent="0.45">
      <c r="Q28" s="172" t="s">
        <v>298</v>
      </c>
      <c r="R28" s="173">
        <v>0.02</v>
      </c>
      <c r="S28" s="174" t="s">
        <v>262</v>
      </c>
      <c r="T28" s="175">
        <v>0</v>
      </c>
      <c r="U28" s="173">
        <v>0.02</v>
      </c>
      <c r="V28" s="174" t="s">
        <v>262</v>
      </c>
      <c r="W28" s="175">
        <v>0</v>
      </c>
      <c r="X28" s="179" t="s">
        <v>273</v>
      </c>
      <c r="Y28" s="180" t="s">
        <v>273</v>
      </c>
      <c r="Z28" s="177">
        <v>15000</v>
      </c>
      <c r="AA28" s="175">
        <v>24000</v>
      </c>
      <c r="AB28" s="175">
        <v>0</v>
      </c>
    </row>
    <row r="29" spans="4:28" ht="15.5" x14ac:dyDescent="0.45">
      <c r="Q29" s="172" t="s">
        <v>299</v>
      </c>
      <c r="R29" s="173">
        <v>4.4999999999999998E-2</v>
      </c>
      <c r="S29" s="174" t="s">
        <v>262</v>
      </c>
      <c r="T29" s="175">
        <v>10000</v>
      </c>
      <c r="U29" s="173">
        <v>4.4999999999999998E-2</v>
      </c>
      <c r="V29" s="174" t="s">
        <v>262</v>
      </c>
      <c r="W29" s="175">
        <v>20000</v>
      </c>
      <c r="X29" s="179"/>
      <c r="Y29" s="180"/>
      <c r="Z29" s="179"/>
      <c r="AA29" s="180"/>
      <c r="AB29" s="180"/>
    </row>
    <row r="30" spans="4:28" ht="15.5" x14ac:dyDescent="0.45">
      <c r="Q30" s="184"/>
      <c r="R30" s="173">
        <v>5.5E-2</v>
      </c>
      <c r="S30" s="174" t="s">
        <v>262</v>
      </c>
      <c r="T30" s="175">
        <v>50000</v>
      </c>
      <c r="U30" s="176">
        <v>5.5E-2</v>
      </c>
      <c r="V30" s="174" t="s">
        <v>262</v>
      </c>
      <c r="W30" s="175">
        <v>100000</v>
      </c>
      <c r="X30" s="179"/>
      <c r="Y30" s="180"/>
      <c r="Z30" s="179"/>
      <c r="AA30" s="180"/>
      <c r="AB30" s="180"/>
    </row>
    <row r="31" spans="4:28" ht="15.5" x14ac:dyDescent="0.45">
      <c r="Q31" s="184"/>
      <c r="R31" s="173">
        <v>0.06</v>
      </c>
      <c r="S31" s="174" t="s">
        <v>262</v>
      </c>
      <c r="T31" s="175">
        <v>100000</v>
      </c>
      <c r="U31" s="176">
        <v>0.06</v>
      </c>
      <c r="V31" s="174" t="s">
        <v>262</v>
      </c>
      <c r="W31" s="175">
        <v>200000</v>
      </c>
      <c r="X31" s="179"/>
      <c r="Y31" s="180"/>
      <c r="Z31" s="179"/>
      <c r="AA31" s="180"/>
      <c r="AB31" s="180"/>
    </row>
    <row r="32" spans="4:28" ht="15.5" x14ac:dyDescent="0.45">
      <c r="Q32" s="184"/>
      <c r="R32" s="173">
        <v>6.5000000000000002E-2</v>
      </c>
      <c r="S32" s="174" t="s">
        <v>262</v>
      </c>
      <c r="T32" s="175">
        <v>200000</v>
      </c>
      <c r="U32" s="176">
        <v>6.5000000000000002E-2</v>
      </c>
      <c r="V32" s="174" t="s">
        <v>262</v>
      </c>
      <c r="W32" s="175">
        <v>400000</v>
      </c>
      <c r="X32" s="179"/>
      <c r="Y32" s="180"/>
      <c r="Z32" s="179"/>
      <c r="AA32" s="180"/>
      <c r="AB32" s="180"/>
    </row>
    <row r="33" spans="17:28" ht="15.5" x14ac:dyDescent="0.45">
      <c r="Q33" s="184"/>
      <c r="R33" s="173">
        <v>6.9000000000000006E-2</v>
      </c>
      <c r="S33" s="174" t="s">
        <v>262</v>
      </c>
      <c r="T33" s="175">
        <v>250000</v>
      </c>
      <c r="U33" s="176">
        <v>6.9000000000000006E-2</v>
      </c>
      <c r="V33" s="174" t="s">
        <v>262</v>
      </c>
      <c r="W33" s="175">
        <v>500000</v>
      </c>
      <c r="X33" s="179"/>
      <c r="Y33" s="180"/>
      <c r="Z33" s="179"/>
      <c r="AA33" s="180"/>
      <c r="AB33" s="180"/>
    </row>
    <row r="34" spans="17:28" ht="15.5" x14ac:dyDescent="0.45">
      <c r="Q34" s="184"/>
      <c r="R34" s="173">
        <v>6.9900000000000004E-2</v>
      </c>
      <c r="S34" s="174" t="s">
        <v>262</v>
      </c>
      <c r="T34" s="175">
        <v>500000</v>
      </c>
      <c r="U34" s="176">
        <v>6.9900000000000004E-2</v>
      </c>
      <c r="V34" s="174" t="s">
        <v>262</v>
      </c>
      <c r="W34" s="175">
        <v>1000000</v>
      </c>
      <c r="X34" s="179"/>
      <c r="Y34" s="180"/>
      <c r="Z34" s="179"/>
      <c r="AA34" s="180"/>
      <c r="AB34" s="180"/>
    </row>
    <row r="35" spans="17:28" ht="15.5" x14ac:dyDescent="0.45">
      <c r="Q35" s="184"/>
      <c r="R35" s="185"/>
      <c r="S35" s="174"/>
      <c r="T35" s="172"/>
      <c r="U35" s="186"/>
      <c r="V35" s="174"/>
      <c r="W35" s="172"/>
      <c r="X35" s="179"/>
      <c r="Y35" s="180"/>
      <c r="Z35" s="179"/>
      <c r="AA35" s="180"/>
      <c r="AB35" s="180"/>
    </row>
    <row r="36" spans="17:28" ht="15.5" x14ac:dyDescent="0.45">
      <c r="Q36" s="172" t="s">
        <v>300</v>
      </c>
      <c r="R36" s="173">
        <v>2.1999999999999999E-2</v>
      </c>
      <c r="S36" s="174" t="s">
        <v>262</v>
      </c>
      <c r="T36" s="175">
        <v>2000</v>
      </c>
      <c r="U36" s="176">
        <v>2.1999999999999999E-2</v>
      </c>
      <c r="V36" s="174" t="s">
        <v>262</v>
      </c>
      <c r="W36" s="175">
        <v>2000</v>
      </c>
      <c r="X36" s="177">
        <v>3250</v>
      </c>
      <c r="Y36" s="175">
        <v>6500</v>
      </c>
      <c r="Z36" s="180" t="s">
        <v>301</v>
      </c>
      <c r="AA36" s="180" t="s">
        <v>302</v>
      </c>
      <c r="AB36" s="180" t="s">
        <v>301</v>
      </c>
    </row>
    <row r="37" spans="17:28" ht="15.5" x14ac:dyDescent="0.45">
      <c r="Q37" s="172" t="s">
        <v>303</v>
      </c>
      <c r="R37" s="173">
        <v>3.9E-2</v>
      </c>
      <c r="S37" s="174" t="s">
        <v>262</v>
      </c>
      <c r="T37" s="175">
        <v>5000</v>
      </c>
      <c r="U37" s="176">
        <v>3.9E-2</v>
      </c>
      <c r="V37" s="174" t="s">
        <v>262</v>
      </c>
      <c r="W37" s="175">
        <v>5000</v>
      </c>
      <c r="X37" s="179"/>
      <c r="Y37" s="180"/>
      <c r="Z37" s="179"/>
      <c r="AA37" s="180"/>
      <c r="AB37" s="180"/>
    </row>
    <row r="38" spans="17:28" ht="15.5" x14ac:dyDescent="0.45">
      <c r="Q38" s="184"/>
      <c r="R38" s="173">
        <v>4.8000000000000001E-2</v>
      </c>
      <c r="S38" s="174" t="s">
        <v>262</v>
      </c>
      <c r="T38" s="175">
        <v>10000</v>
      </c>
      <c r="U38" s="176">
        <v>4.8000000000000001E-2</v>
      </c>
      <c r="V38" s="174" t="s">
        <v>262</v>
      </c>
      <c r="W38" s="175">
        <v>10000</v>
      </c>
      <c r="X38" s="179"/>
      <c r="Y38" s="180"/>
      <c r="Z38" s="179"/>
      <c r="AA38" s="180"/>
      <c r="AB38" s="180"/>
    </row>
    <row r="39" spans="17:28" ht="15.5" x14ac:dyDescent="0.45">
      <c r="Q39" s="184"/>
      <c r="R39" s="173">
        <v>5.1999999999999998E-2</v>
      </c>
      <c r="S39" s="174" t="s">
        <v>262</v>
      </c>
      <c r="T39" s="175">
        <v>20000</v>
      </c>
      <c r="U39" s="176">
        <v>5.1999999999999998E-2</v>
      </c>
      <c r="V39" s="174" t="s">
        <v>262</v>
      </c>
      <c r="W39" s="175">
        <v>20000</v>
      </c>
      <c r="X39" s="179"/>
      <c r="Y39" s="180"/>
      <c r="Z39" s="179"/>
      <c r="AA39" s="180"/>
      <c r="AB39" s="180"/>
    </row>
    <row r="40" spans="17:28" ht="15.5" x14ac:dyDescent="0.45">
      <c r="Q40" s="184"/>
      <c r="R40" s="173">
        <v>5.5500000000000001E-2</v>
      </c>
      <c r="S40" s="174" t="s">
        <v>262</v>
      </c>
      <c r="T40" s="175">
        <v>25000</v>
      </c>
      <c r="U40" s="176">
        <v>5.5500000000000001E-2</v>
      </c>
      <c r="V40" s="174" t="s">
        <v>262</v>
      </c>
      <c r="W40" s="175">
        <v>25000</v>
      </c>
      <c r="X40" s="179"/>
      <c r="Y40" s="180"/>
      <c r="Z40" s="179"/>
      <c r="AA40" s="180"/>
      <c r="AB40" s="180"/>
    </row>
    <row r="41" spans="17:28" ht="15.5" x14ac:dyDescent="0.45">
      <c r="Q41" s="184"/>
      <c r="R41" s="173">
        <v>6.6000000000000003E-2</v>
      </c>
      <c r="S41" s="174" t="s">
        <v>262</v>
      </c>
      <c r="T41" s="175">
        <v>60000</v>
      </c>
      <c r="U41" s="176">
        <v>6.6000000000000003E-2</v>
      </c>
      <c r="V41" s="174" t="s">
        <v>262</v>
      </c>
      <c r="W41" s="175">
        <v>60000</v>
      </c>
      <c r="X41" s="179"/>
      <c r="Y41" s="180"/>
      <c r="Z41" s="179"/>
      <c r="AA41" s="180"/>
      <c r="AB41" s="180"/>
    </row>
    <row r="42" spans="17:28" ht="15.5" x14ac:dyDescent="0.45">
      <c r="Q42" s="184"/>
      <c r="R42" s="185"/>
      <c r="S42" s="174"/>
      <c r="T42" s="172"/>
      <c r="U42" s="186"/>
      <c r="V42" s="174"/>
      <c r="W42" s="172"/>
      <c r="X42" s="179"/>
      <c r="Y42" s="180"/>
      <c r="Z42" s="179"/>
      <c r="AA42" s="180"/>
      <c r="AB42" s="180"/>
    </row>
    <row r="43" spans="17:28" ht="15.5" x14ac:dyDescent="0.45">
      <c r="Q43" s="172" t="s">
        <v>304</v>
      </c>
      <c r="R43" s="187" t="s">
        <v>272</v>
      </c>
      <c r="S43" s="188"/>
      <c r="T43" s="188"/>
      <c r="U43" s="187" t="s">
        <v>272</v>
      </c>
      <c r="V43" s="188"/>
      <c r="W43" s="188"/>
      <c r="X43" s="179" t="s">
        <v>273</v>
      </c>
      <c r="Y43" s="180" t="s">
        <v>273</v>
      </c>
      <c r="Z43" s="179" t="s">
        <v>273</v>
      </c>
      <c r="AA43" s="180" t="s">
        <v>273</v>
      </c>
      <c r="AB43" s="180" t="s">
        <v>273</v>
      </c>
    </row>
    <row r="44" spans="17:28" ht="15.5" x14ac:dyDescent="0.45">
      <c r="Q44" s="184"/>
      <c r="R44" s="185"/>
      <c r="S44" s="174"/>
      <c r="T44" s="172"/>
      <c r="U44" s="186"/>
      <c r="V44" s="174"/>
      <c r="W44" s="172"/>
      <c r="X44" s="179"/>
      <c r="Y44" s="180"/>
      <c r="Z44" s="179"/>
      <c r="AA44" s="180"/>
      <c r="AB44" s="180"/>
    </row>
    <row r="45" spans="17:28" ht="15.5" x14ac:dyDescent="0.45">
      <c r="Q45" s="172" t="s">
        <v>305</v>
      </c>
      <c r="R45" s="173">
        <v>5.4899999999999997E-2</v>
      </c>
      <c r="S45" s="174" t="s">
        <v>262</v>
      </c>
      <c r="T45" s="175">
        <v>0</v>
      </c>
      <c r="U45" s="176">
        <v>5.4899999999999997E-2</v>
      </c>
      <c r="V45" s="174" t="s">
        <v>262</v>
      </c>
      <c r="W45" s="175">
        <v>0</v>
      </c>
      <c r="X45" s="178">
        <v>12000</v>
      </c>
      <c r="Y45" s="181">
        <v>24000</v>
      </c>
      <c r="Z45" s="179" t="s">
        <v>273</v>
      </c>
      <c r="AA45" s="180" t="s">
        <v>273</v>
      </c>
      <c r="AB45" s="175">
        <v>3000</v>
      </c>
    </row>
    <row r="46" spans="17:28" ht="15.5" x14ac:dyDescent="0.45">
      <c r="Q46" s="184"/>
      <c r="R46" s="185"/>
      <c r="S46" s="174"/>
      <c r="T46" s="172"/>
      <c r="U46" s="186"/>
      <c r="V46" s="174"/>
      <c r="W46" s="172"/>
      <c r="X46" s="179"/>
      <c r="Y46" s="180"/>
      <c r="Z46" s="179"/>
      <c r="AA46" s="180"/>
      <c r="AB46" s="180"/>
    </row>
    <row r="47" spans="17:28" ht="15.5" x14ac:dyDescent="0.45">
      <c r="Q47" s="172" t="s">
        <v>306</v>
      </c>
      <c r="R47" s="173">
        <v>1.4E-2</v>
      </c>
      <c r="S47" s="174" t="s">
        <v>262</v>
      </c>
      <c r="T47" s="175">
        <v>0</v>
      </c>
      <c r="U47" s="176">
        <v>1.4E-2</v>
      </c>
      <c r="V47" s="174" t="s">
        <v>262</v>
      </c>
      <c r="W47" s="175">
        <v>0</v>
      </c>
      <c r="X47" s="177">
        <v>2200</v>
      </c>
      <c r="Y47" s="175">
        <v>4400</v>
      </c>
      <c r="Z47" s="177">
        <v>1144</v>
      </c>
      <c r="AA47" s="175">
        <v>2288</v>
      </c>
      <c r="AB47" s="175">
        <v>1144</v>
      </c>
    </row>
    <row r="48" spans="17:28" ht="15.5" x14ac:dyDescent="0.45">
      <c r="Q48" s="172" t="s">
        <v>307</v>
      </c>
      <c r="R48" s="173">
        <v>3.2000000000000001E-2</v>
      </c>
      <c r="S48" s="174" t="s">
        <v>262</v>
      </c>
      <c r="T48" s="175">
        <v>2400</v>
      </c>
      <c r="U48" s="176">
        <v>3.2000000000000001E-2</v>
      </c>
      <c r="V48" s="174" t="s">
        <v>262</v>
      </c>
      <c r="W48" s="175">
        <v>4800</v>
      </c>
      <c r="X48" s="179"/>
      <c r="Y48" s="180"/>
      <c r="Z48" s="179"/>
      <c r="AA48" s="180"/>
      <c r="AB48" s="180"/>
    </row>
    <row r="49" spans="17:28" ht="15.5" x14ac:dyDescent="0.45">
      <c r="Q49" s="184"/>
      <c r="R49" s="173">
        <v>5.5E-2</v>
      </c>
      <c r="S49" s="174" t="s">
        <v>262</v>
      </c>
      <c r="T49" s="175">
        <v>4800</v>
      </c>
      <c r="U49" s="176">
        <v>5.5E-2</v>
      </c>
      <c r="V49" s="174" t="s">
        <v>262</v>
      </c>
      <c r="W49" s="175">
        <v>9600</v>
      </c>
      <c r="X49" s="179"/>
      <c r="Y49" s="180"/>
      <c r="Z49" s="179"/>
      <c r="AA49" s="180"/>
      <c r="AB49" s="180"/>
    </row>
    <row r="50" spans="17:28" ht="15.5" x14ac:dyDescent="0.45">
      <c r="Q50" s="184"/>
      <c r="R50" s="173">
        <v>6.4000000000000001E-2</v>
      </c>
      <c r="S50" s="174" t="s">
        <v>262</v>
      </c>
      <c r="T50" s="175">
        <v>9600</v>
      </c>
      <c r="U50" s="176">
        <v>6.4000000000000001E-2</v>
      </c>
      <c r="V50" s="174" t="s">
        <v>262</v>
      </c>
      <c r="W50" s="175">
        <v>19200</v>
      </c>
      <c r="X50" s="179"/>
      <c r="Y50" s="180"/>
      <c r="Z50" s="179"/>
      <c r="AA50" s="180"/>
      <c r="AB50" s="180"/>
    </row>
    <row r="51" spans="17:28" ht="15.5" x14ac:dyDescent="0.45">
      <c r="Q51" s="184"/>
      <c r="R51" s="173">
        <v>6.8000000000000005E-2</v>
      </c>
      <c r="S51" s="174" t="s">
        <v>262</v>
      </c>
      <c r="T51" s="175">
        <v>14400</v>
      </c>
      <c r="U51" s="176">
        <v>6.8000000000000005E-2</v>
      </c>
      <c r="V51" s="174" t="s">
        <v>262</v>
      </c>
      <c r="W51" s="175">
        <v>28800</v>
      </c>
      <c r="X51" s="179"/>
      <c r="Y51" s="180"/>
      <c r="Z51" s="179"/>
      <c r="AA51" s="180"/>
      <c r="AB51" s="180"/>
    </row>
    <row r="52" spans="17:28" ht="15.5" x14ac:dyDescent="0.45">
      <c r="Q52" s="184"/>
      <c r="R52" s="173">
        <v>7.1999999999999995E-2</v>
      </c>
      <c r="S52" s="174" t="s">
        <v>262</v>
      </c>
      <c r="T52" s="175">
        <v>19200</v>
      </c>
      <c r="U52" s="176">
        <v>7.1999999999999995E-2</v>
      </c>
      <c r="V52" s="174" t="s">
        <v>262</v>
      </c>
      <c r="W52" s="175">
        <v>38400</v>
      </c>
      <c r="X52" s="179"/>
      <c r="Y52" s="180"/>
      <c r="Z52" s="179"/>
      <c r="AA52" s="180"/>
      <c r="AB52" s="180"/>
    </row>
    <row r="53" spans="17:28" ht="15.5" x14ac:dyDescent="0.45">
      <c r="Q53" s="184"/>
      <c r="R53" s="173">
        <v>7.5999999999999998E-2</v>
      </c>
      <c r="S53" s="174" t="s">
        <v>262</v>
      </c>
      <c r="T53" s="175">
        <v>24000</v>
      </c>
      <c r="U53" s="176">
        <v>7.5999999999999998E-2</v>
      </c>
      <c r="V53" s="174" t="s">
        <v>262</v>
      </c>
      <c r="W53" s="175">
        <v>48000</v>
      </c>
      <c r="X53" s="179"/>
      <c r="Y53" s="180"/>
      <c r="Z53" s="179"/>
      <c r="AA53" s="180"/>
      <c r="AB53" s="180"/>
    </row>
    <row r="54" spans="17:28" ht="15.5" x14ac:dyDescent="0.45">
      <c r="Q54" s="184"/>
      <c r="R54" s="173">
        <v>7.9000000000000001E-2</v>
      </c>
      <c r="S54" s="174" t="s">
        <v>262</v>
      </c>
      <c r="T54" s="175">
        <v>36000</v>
      </c>
      <c r="U54" s="176">
        <v>7.9000000000000001E-2</v>
      </c>
      <c r="V54" s="174" t="s">
        <v>262</v>
      </c>
      <c r="W54" s="175">
        <v>72000</v>
      </c>
      <c r="X54" s="179"/>
      <c r="Y54" s="180"/>
      <c r="Z54" s="179"/>
      <c r="AA54" s="180"/>
      <c r="AB54" s="180"/>
    </row>
    <row r="55" spans="17:28" ht="15.5" x14ac:dyDescent="0.45">
      <c r="Q55" s="184"/>
      <c r="R55" s="173">
        <v>8.2500000000000004E-2</v>
      </c>
      <c r="S55" s="174" t="s">
        <v>262</v>
      </c>
      <c r="T55" s="175">
        <v>48000</v>
      </c>
      <c r="U55" s="176">
        <v>8.2500000000000004E-2</v>
      </c>
      <c r="V55" s="174" t="s">
        <v>262</v>
      </c>
      <c r="W55" s="175">
        <v>96000</v>
      </c>
      <c r="X55" s="179"/>
      <c r="Y55" s="180"/>
      <c r="Z55" s="179"/>
      <c r="AA55" s="180"/>
      <c r="AB55" s="180"/>
    </row>
    <row r="56" spans="17:28" ht="15.5" x14ac:dyDescent="0.45">
      <c r="Q56" s="184"/>
      <c r="R56" s="173">
        <v>0.09</v>
      </c>
      <c r="S56" s="174" t="s">
        <v>262</v>
      </c>
      <c r="T56" s="175">
        <v>150000</v>
      </c>
      <c r="U56" s="176">
        <v>0.09</v>
      </c>
      <c r="V56" s="174" t="s">
        <v>262</v>
      </c>
      <c r="W56" s="175">
        <v>300000</v>
      </c>
      <c r="X56" s="179"/>
      <c r="Y56" s="180"/>
      <c r="Z56" s="179"/>
      <c r="AA56" s="180"/>
      <c r="AB56" s="180"/>
    </row>
    <row r="57" spans="17:28" ht="15.5" x14ac:dyDescent="0.45">
      <c r="Q57" s="184"/>
      <c r="R57" s="173">
        <v>0.1</v>
      </c>
      <c r="S57" s="174" t="s">
        <v>262</v>
      </c>
      <c r="T57" s="175">
        <v>175000</v>
      </c>
      <c r="U57" s="176">
        <v>0.1</v>
      </c>
      <c r="V57" s="174" t="s">
        <v>262</v>
      </c>
      <c r="W57" s="175">
        <v>350000</v>
      </c>
      <c r="X57" s="179"/>
      <c r="Y57" s="180"/>
      <c r="Z57" s="179"/>
      <c r="AA57" s="180"/>
      <c r="AB57" s="180"/>
    </row>
    <row r="58" spans="17:28" ht="15.5" x14ac:dyDescent="0.45">
      <c r="Q58" s="184"/>
      <c r="R58" s="173">
        <v>0.11</v>
      </c>
      <c r="S58" s="174" t="s">
        <v>262</v>
      </c>
      <c r="T58" s="175">
        <v>200000</v>
      </c>
      <c r="U58" s="176">
        <v>0.11</v>
      </c>
      <c r="V58" s="174" t="s">
        <v>262</v>
      </c>
      <c r="W58" s="175">
        <v>400000</v>
      </c>
      <c r="X58" s="179"/>
      <c r="Y58" s="180"/>
      <c r="Z58" s="179"/>
      <c r="AA58" s="180"/>
      <c r="AB58" s="180"/>
    </row>
    <row r="59" spans="17:28" ht="15.5" x14ac:dyDescent="0.45">
      <c r="Q59" s="184"/>
      <c r="R59" s="185"/>
      <c r="S59" s="174"/>
      <c r="T59" s="172"/>
      <c r="U59" s="186"/>
      <c r="V59" s="174"/>
      <c r="W59" s="172"/>
      <c r="X59" s="179"/>
      <c r="Y59" s="180"/>
      <c r="Z59" s="179"/>
      <c r="AA59" s="180"/>
      <c r="AB59" s="180"/>
    </row>
    <row r="60" spans="17:28" ht="15.5" x14ac:dyDescent="0.45">
      <c r="Q60" s="172" t="s">
        <v>308</v>
      </c>
      <c r="R60" s="196">
        <v>5.8000000000000003E-2</v>
      </c>
      <c r="S60" s="172" t="s">
        <v>262</v>
      </c>
      <c r="T60" s="175">
        <v>4489</v>
      </c>
      <c r="U60" s="196">
        <v>5.8000000000000003E-2</v>
      </c>
      <c r="V60" s="172" t="s">
        <v>262</v>
      </c>
      <c r="W60" s="175">
        <v>8978</v>
      </c>
      <c r="X60" s="177">
        <v>14600</v>
      </c>
      <c r="Y60" s="175">
        <v>29200</v>
      </c>
      <c r="Z60" s="179" t="s">
        <v>273</v>
      </c>
      <c r="AA60" s="180" t="s">
        <v>273</v>
      </c>
      <c r="AB60" s="180" t="s">
        <v>273</v>
      </c>
    </row>
    <row r="61" spans="17:28" ht="15.5" x14ac:dyDescent="0.45">
      <c r="Q61" s="184"/>
      <c r="R61" s="189"/>
      <c r="S61" s="174"/>
      <c r="T61" s="172"/>
      <c r="U61" s="186"/>
      <c r="V61" s="174"/>
      <c r="W61" s="172"/>
      <c r="X61" s="179"/>
      <c r="Y61" s="180"/>
      <c r="Z61" s="179"/>
      <c r="AA61" s="180"/>
      <c r="AB61" s="180"/>
    </row>
    <row r="62" spans="17:28" ht="15.5" x14ac:dyDescent="0.45">
      <c r="Q62" s="172" t="s">
        <v>309</v>
      </c>
      <c r="R62" s="173">
        <v>4.9500000000000002E-2</v>
      </c>
      <c r="S62" s="174" t="s">
        <v>262</v>
      </c>
      <c r="T62" s="175">
        <v>0</v>
      </c>
      <c r="U62" s="176">
        <v>4.9500000000000002E-2</v>
      </c>
      <c r="V62" s="174" t="s">
        <v>262</v>
      </c>
      <c r="W62" s="175">
        <v>0</v>
      </c>
      <c r="X62" s="179" t="s">
        <v>273</v>
      </c>
      <c r="Y62" s="180" t="s">
        <v>273</v>
      </c>
      <c r="Z62" s="177">
        <v>2775</v>
      </c>
      <c r="AA62" s="175">
        <v>5550</v>
      </c>
      <c r="AB62" s="175">
        <v>2775</v>
      </c>
    </row>
    <row r="63" spans="17:28" ht="15.5" x14ac:dyDescent="0.45">
      <c r="Q63" s="184"/>
      <c r="R63" s="185"/>
      <c r="S63" s="174"/>
      <c r="T63" s="172"/>
      <c r="U63" s="186"/>
      <c r="V63" s="174"/>
      <c r="W63" s="172"/>
      <c r="X63" s="179"/>
      <c r="Y63" s="180"/>
      <c r="Z63" s="179"/>
      <c r="AA63" s="180"/>
      <c r="AB63" s="180"/>
    </row>
    <row r="64" spans="17:28" ht="15.5" x14ac:dyDescent="0.45">
      <c r="Q64" s="172" t="s">
        <v>310</v>
      </c>
      <c r="R64" s="173">
        <v>3.0499999999999999E-2</v>
      </c>
      <c r="S64" s="174" t="s">
        <v>262</v>
      </c>
      <c r="T64" s="175">
        <v>0</v>
      </c>
      <c r="U64" s="176">
        <v>3.0499999999999999E-2</v>
      </c>
      <c r="V64" s="174" t="s">
        <v>262</v>
      </c>
      <c r="W64" s="175">
        <v>0</v>
      </c>
      <c r="X64" s="179" t="s">
        <v>273</v>
      </c>
      <c r="Y64" s="180" t="s">
        <v>273</v>
      </c>
      <c r="Z64" s="177">
        <v>1000</v>
      </c>
      <c r="AA64" s="175">
        <v>2000</v>
      </c>
      <c r="AB64" s="175">
        <v>1000</v>
      </c>
    </row>
    <row r="65" spans="17:28" ht="15.5" x14ac:dyDescent="0.45">
      <c r="Q65" s="184"/>
      <c r="R65" s="185"/>
      <c r="S65" s="174"/>
      <c r="T65" s="172"/>
      <c r="U65" s="186"/>
      <c r="V65" s="174"/>
      <c r="W65" s="172"/>
      <c r="X65" s="179"/>
      <c r="Y65" s="180"/>
      <c r="Z65" s="179"/>
      <c r="AA65" s="180"/>
      <c r="AB65" s="180"/>
    </row>
    <row r="66" spans="17:28" ht="15.5" x14ac:dyDescent="0.45">
      <c r="Q66" s="172" t="s">
        <v>311</v>
      </c>
      <c r="R66" s="173">
        <v>4.3999999999999997E-2</v>
      </c>
      <c r="S66" s="174" t="s">
        <v>262</v>
      </c>
      <c r="T66" s="175">
        <v>0</v>
      </c>
      <c r="U66" s="173">
        <v>4.3999999999999997E-2</v>
      </c>
      <c r="V66" s="174" t="s">
        <v>262</v>
      </c>
      <c r="W66" s="175">
        <v>0</v>
      </c>
      <c r="X66" s="179" t="s">
        <v>273</v>
      </c>
      <c r="Y66" s="180" t="s">
        <v>273</v>
      </c>
      <c r="Z66" s="180" t="s">
        <v>312</v>
      </c>
      <c r="AA66" s="180" t="s">
        <v>313</v>
      </c>
      <c r="AB66" s="180" t="s">
        <v>312</v>
      </c>
    </row>
    <row r="67" spans="17:28" ht="15.5" x14ac:dyDescent="0.45">
      <c r="Q67" s="172" t="s">
        <v>314</v>
      </c>
      <c r="R67" s="173">
        <v>4.82E-2</v>
      </c>
      <c r="S67" s="174" t="s">
        <v>262</v>
      </c>
      <c r="T67" s="175">
        <v>6210</v>
      </c>
      <c r="U67" s="173">
        <v>4.82E-2</v>
      </c>
      <c r="V67" s="174" t="s">
        <v>262</v>
      </c>
      <c r="W67" s="175">
        <v>12420</v>
      </c>
      <c r="X67" s="179"/>
      <c r="Y67" s="180"/>
      <c r="Z67" s="179"/>
      <c r="AA67" s="180"/>
      <c r="AB67" s="180"/>
    </row>
    <row r="68" spans="17:28" ht="15.5" x14ac:dyDescent="0.45">
      <c r="Q68" s="184"/>
      <c r="R68" s="173">
        <v>5.7000000000000002E-2</v>
      </c>
      <c r="S68" s="174" t="s">
        <v>262</v>
      </c>
      <c r="T68" s="175">
        <v>31050</v>
      </c>
      <c r="U68" s="173">
        <v>5.7000000000000002E-2</v>
      </c>
      <c r="V68" s="174" t="s">
        <v>262</v>
      </c>
      <c r="W68" s="175">
        <v>62100</v>
      </c>
      <c r="X68" s="179"/>
      <c r="Y68" s="180"/>
      <c r="Z68" s="179"/>
      <c r="AA68" s="180"/>
      <c r="AB68" s="180"/>
    </row>
    <row r="69" spans="17:28" ht="15.5" x14ac:dyDescent="0.45">
      <c r="Q69" s="184"/>
      <c r="R69" s="185"/>
      <c r="S69" s="174"/>
      <c r="T69" s="172"/>
      <c r="U69" s="186"/>
      <c r="V69" s="174"/>
      <c r="W69" s="172"/>
      <c r="X69" s="179"/>
      <c r="Y69" s="180"/>
      <c r="Z69" s="179"/>
      <c r="AA69" s="180"/>
      <c r="AB69" s="180"/>
    </row>
    <row r="70" spans="17:28" ht="15.5" x14ac:dyDescent="0.45">
      <c r="Q70" s="172" t="s">
        <v>315</v>
      </c>
      <c r="R70" s="173">
        <v>3.1E-2</v>
      </c>
      <c r="S70" s="174" t="s">
        <v>262</v>
      </c>
      <c r="T70" s="175">
        <v>0</v>
      </c>
      <c r="U70" s="176">
        <v>3.1E-2</v>
      </c>
      <c r="V70" s="174" t="s">
        <v>262</v>
      </c>
      <c r="W70" s="175">
        <v>0</v>
      </c>
      <c r="X70" s="177">
        <v>3500</v>
      </c>
      <c r="Y70" s="175">
        <v>8000</v>
      </c>
      <c r="Z70" s="177">
        <v>2250</v>
      </c>
      <c r="AA70" s="175">
        <v>4500</v>
      </c>
      <c r="AB70" s="175">
        <v>2250</v>
      </c>
    </row>
    <row r="71" spans="17:28" ht="15.5" x14ac:dyDescent="0.45">
      <c r="Q71" s="172" t="s">
        <v>316</v>
      </c>
      <c r="R71" s="173">
        <v>5.2499999999999998E-2</v>
      </c>
      <c r="S71" s="174" t="s">
        <v>262</v>
      </c>
      <c r="T71" s="175">
        <v>15000</v>
      </c>
      <c r="U71" s="176">
        <v>5.2499999999999998E-2</v>
      </c>
      <c r="V71" s="174" t="s">
        <v>262</v>
      </c>
      <c r="W71" s="175">
        <v>30000</v>
      </c>
      <c r="X71" s="179"/>
      <c r="Y71" s="180"/>
      <c r="Z71" s="179"/>
      <c r="AA71" s="180"/>
      <c r="AB71" s="180"/>
    </row>
    <row r="72" spans="17:28" ht="15.5" x14ac:dyDescent="0.45">
      <c r="Q72" s="184"/>
      <c r="R72" s="173">
        <v>5.7000000000000002E-2</v>
      </c>
      <c r="S72" s="174" t="s">
        <v>262</v>
      </c>
      <c r="T72" s="175">
        <v>30000</v>
      </c>
      <c r="U72" s="176">
        <v>5.7000000000000002E-2</v>
      </c>
      <c r="V72" s="174" t="s">
        <v>262</v>
      </c>
      <c r="W72" s="175">
        <v>60000</v>
      </c>
      <c r="X72" s="179"/>
      <c r="Y72" s="180"/>
      <c r="Z72" s="179"/>
      <c r="AA72" s="180"/>
      <c r="AB72" s="180"/>
    </row>
    <row r="73" spans="17:28" ht="15.5" x14ac:dyDescent="0.45">
      <c r="Q73" s="184"/>
      <c r="R73" s="185"/>
      <c r="S73" s="174"/>
      <c r="T73" s="172"/>
      <c r="U73" s="186"/>
      <c r="V73" s="174"/>
      <c r="W73" s="172"/>
      <c r="X73" s="179"/>
      <c r="Y73" s="180"/>
      <c r="Z73" s="179"/>
      <c r="AA73" s="180"/>
      <c r="AB73" s="180"/>
    </row>
    <row r="74" spans="17:28" ht="15.5" x14ac:dyDescent="0.45">
      <c r="Q74" s="172" t="s">
        <v>317</v>
      </c>
      <c r="R74" s="173">
        <v>0.04</v>
      </c>
      <c r="S74" s="174" t="s">
        <v>262</v>
      </c>
      <c r="T74" s="175">
        <v>0</v>
      </c>
      <c r="U74" s="176">
        <v>0.04</v>
      </c>
      <c r="V74" s="174" t="s">
        <v>262</v>
      </c>
      <c r="W74" s="175">
        <v>0</v>
      </c>
      <c r="X74" s="177">
        <v>3160</v>
      </c>
      <c r="Y74" s="175">
        <v>6320</v>
      </c>
      <c r="Z74" s="179" t="s">
        <v>273</v>
      </c>
      <c r="AA74" s="180" t="s">
        <v>273</v>
      </c>
      <c r="AB74" s="180" t="s">
        <v>273</v>
      </c>
    </row>
    <row r="75" spans="17:28" ht="15.5" x14ac:dyDescent="0.45">
      <c r="Q75" s="172" t="s">
        <v>318</v>
      </c>
      <c r="R75" s="185"/>
      <c r="S75" s="174"/>
      <c r="T75" s="172"/>
      <c r="U75" s="186"/>
      <c r="V75" s="174"/>
      <c r="W75" s="172"/>
      <c r="X75" s="179"/>
      <c r="Y75" s="180"/>
      <c r="Z75" s="179"/>
      <c r="AA75" s="180"/>
      <c r="AB75" s="180"/>
    </row>
    <row r="76" spans="17:28" ht="15.5" x14ac:dyDescent="0.45">
      <c r="Q76" s="184"/>
      <c r="R76" s="185"/>
      <c r="S76" s="174"/>
      <c r="T76" s="172"/>
      <c r="U76" s="186"/>
      <c r="V76" s="174"/>
      <c r="W76" s="172"/>
      <c r="X76" s="179"/>
      <c r="Y76" s="180"/>
      <c r="Z76" s="179"/>
      <c r="AA76" s="180"/>
      <c r="AB76" s="180"/>
    </row>
    <row r="77" spans="17:28" ht="15.5" x14ac:dyDescent="0.45">
      <c r="Q77" s="172" t="s">
        <v>319</v>
      </c>
      <c r="R77" s="176">
        <v>1.8499999999999999E-2</v>
      </c>
      <c r="S77" s="174" t="s">
        <v>262</v>
      </c>
      <c r="T77" s="175">
        <v>0</v>
      </c>
      <c r="U77" s="176">
        <v>1.8499999999999999E-2</v>
      </c>
      <c r="V77" s="174" t="s">
        <v>262</v>
      </c>
      <c r="W77" s="175">
        <v>0</v>
      </c>
      <c r="X77" s="179" t="s">
        <v>273</v>
      </c>
      <c r="Y77" s="180" t="s">
        <v>273</v>
      </c>
      <c r="Z77" s="177">
        <v>4500</v>
      </c>
      <c r="AA77" s="175">
        <v>9000</v>
      </c>
      <c r="AB77" s="175">
        <v>1000</v>
      </c>
    </row>
    <row r="78" spans="17:28" ht="15.5" x14ac:dyDescent="0.45">
      <c r="Q78" s="172" t="s">
        <v>320</v>
      </c>
      <c r="R78" s="176">
        <v>3.5000000000000003E-2</v>
      </c>
      <c r="S78" s="174" t="s">
        <v>262</v>
      </c>
      <c r="T78" s="175">
        <v>12500</v>
      </c>
      <c r="U78" s="176">
        <v>3.5000000000000003E-2</v>
      </c>
      <c r="V78" s="174" t="s">
        <v>262</v>
      </c>
      <c r="W78" s="175">
        <v>25000</v>
      </c>
      <c r="X78" s="179"/>
      <c r="Y78" s="180"/>
      <c r="Z78" s="179"/>
      <c r="AA78" s="180"/>
      <c r="AB78" s="180"/>
    </row>
    <row r="79" spans="17:28" ht="15.5" x14ac:dyDescent="0.45">
      <c r="Q79" s="184"/>
      <c r="R79" s="176">
        <v>4.2450000000000002E-2</v>
      </c>
      <c r="S79" s="174" t="s">
        <v>262</v>
      </c>
      <c r="T79" s="175">
        <v>50000</v>
      </c>
      <c r="U79" s="176">
        <v>4.2450000000000002E-2</v>
      </c>
      <c r="V79" s="174" t="s">
        <v>262</v>
      </c>
      <c r="W79" s="175">
        <v>100000</v>
      </c>
      <c r="X79" s="179"/>
      <c r="Y79" s="180"/>
      <c r="Z79" s="179"/>
      <c r="AA79" s="180"/>
      <c r="AB79" s="180"/>
    </row>
    <row r="80" spans="17:28" ht="15.5" x14ac:dyDescent="0.45">
      <c r="Q80" s="184"/>
      <c r="R80" s="185"/>
      <c r="S80" s="174"/>
      <c r="T80" s="172"/>
      <c r="U80" s="186"/>
      <c r="V80" s="174"/>
      <c r="W80" s="172"/>
      <c r="X80" s="179"/>
      <c r="Y80" s="180"/>
      <c r="Z80" s="179"/>
      <c r="AA80" s="180"/>
      <c r="AB80" s="180"/>
    </row>
    <row r="81" spans="17:28" ht="15.5" x14ac:dyDescent="0.45">
      <c r="Q81" s="172" t="s">
        <v>321</v>
      </c>
      <c r="R81" s="173">
        <v>5.8000000000000003E-2</v>
      </c>
      <c r="S81" s="174" t="s">
        <v>262</v>
      </c>
      <c r="T81" s="175">
        <v>0</v>
      </c>
      <c r="U81" s="176">
        <v>5.8000000000000003E-2</v>
      </c>
      <c r="V81" s="174" t="s">
        <v>262</v>
      </c>
      <c r="W81" s="175">
        <v>0</v>
      </c>
      <c r="X81" s="177">
        <v>14600</v>
      </c>
      <c r="Y81" s="175">
        <v>29200</v>
      </c>
      <c r="Z81" s="177">
        <v>5000</v>
      </c>
      <c r="AA81" s="175">
        <v>10000</v>
      </c>
      <c r="AB81" s="180" t="s">
        <v>322</v>
      </c>
    </row>
    <row r="82" spans="17:28" ht="15.5" x14ac:dyDescent="0.45">
      <c r="Q82" s="172" t="s">
        <v>323</v>
      </c>
      <c r="R82" s="173">
        <v>6.7500000000000004E-2</v>
      </c>
      <c r="S82" s="174" t="s">
        <v>262</v>
      </c>
      <c r="T82" s="175">
        <v>26050</v>
      </c>
      <c r="U82" s="176">
        <v>6.7500000000000004E-2</v>
      </c>
      <c r="V82" s="174" t="s">
        <v>262</v>
      </c>
      <c r="W82" s="175">
        <v>52100</v>
      </c>
      <c r="X82" s="179"/>
      <c r="Y82" s="180"/>
      <c r="Z82" s="179"/>
      <c r="AA82" s="180"/>
      <c r="AB82" s="180"/>
    </row>
    <row r="83" spans="17:28" ht="15.5" x14ac:dyDescent="0.45">
      <c r="Q83" s="184"/>
      <c r="R83" s="173">
        <v>7.1499999999999994E-2</v>
      </c>
      <c r="S83" s="174" t="s">
        <v>262</v>
      </c>
      <c r="T83" s="175">
        <v>61600</v>
      </c>
      <c r="U83" s="176">
        <v>7.1499999999999994E-2</v>
      </c>
      <c r="V83" s="174" t="s">
        <v>262</v>
      </c>
      <c r="W83" s="175">
        <v>123250</v>
      </c>
      <c r="X83" s="179"/>
      <c r="Y83" s="180"/>
      <c r="Z83" s="179"/>
      <c r="AA83" s="180"/>
      <c r="AB83" s="180"/>
    </row>
    <row r="84" spans="17:28" ht="15.5" x14ac:dyDescent="0.45">
      <c r="Q84" s="184"/>
      <c r="R84" s="185"/>
      <c r="S84" s="174"/>
      <c r="T84" s="172"/>
      <c r="U84" s="186"/>
      <c r="V84" s="174"/>
      <c r="W84" s="172"/>
      <c r="X84" s="179"/>
      <c r="Y84" s="180"/>
      <c r="Z84" s="179"/>
      <c r="AA84" s="180"/>
      <c r="AB84" s="180"/>
    </row>
    <row r="85" spans="17:28" ht="15.5" x14ac:dyDescent="0.45">
      <c r="Q85" s="172" t="s">
        <v>324</v>
      </c>
      <c r="R85" s="173">
        <v>0.02</v>
      </c>
      <c r="S85" s="174" t="s">
        <v>262</v>
      </c>
      <c r="T85" s="175">
        <v>0</v>
      </c>
      <c r="U85" s="176">
        <v>0.02</v>
      </c>
      <c r="V85" s="174" t="s">
        <v>262</v>
      </c>
      <c r="W85" s="175">
        <v>0</v>
      </c>
      <c r="X85" s="177">
        <v>2550</v>
      </c>
      <c r="Y85" s="175">
        <v>5150</v>
      </c>
      <c r="Z85" s="177">
        <v>3200</v>
      </c>
      <c r="AA85" s="175">
        <v>6400</v>
      </c>
      <c r="AB85" s="175">
        <v>3200</v>
      </c>
    </row>
    <row r="86" spans="17:28" ht="15.5" x14ac:dyDescent="0.45">
      <c r="Q86" s="172" t="s">
        <v>325</v>
      </c>
      <c r="R86" s="173">
        <v>0.03</v>
      </c>
      <c r="S86" s="174" t="s">
        <v>262</v>
      </c>
      <c r="T86" s="175">
        <v>1000</v>
      </c>
      <c r="U86" s="176">
        <v>0.03</v>
      </c>
      <c r="V86" s="174" t="s">
        <v>262</v>
      </c>
      <c r="W86" s="175">
        <v>1000</v>
      </c>
      <c r="X86" s="179"/>
      <c r="Y86" s="180"/>
      <c r="Z86" s="179"/>
      <c r="AA86" s="180"/>
      <c r="AB86" s="180"/>
    </row>
    <row r="87" spans="17:28" ht="15.5" x14ac:dyDescent="0.45">
      <c r="Q87" s="197"/>
      <c r="R87" s="173">
        <v>0.04</v>
      </c>
      <c r="S87" s="174" t="s">
        <v>262</v>
      </c>
      <c r="T87" s="175">
        <v>2000</v>
      </c>
      <c r="U87" s="176">
        <v>0.04</v>
      </c>
      <c r="V87" s="174" t="s">
        <v>262</v>
      </c>
      <c r="W87" s="175">
        <v>2000</v>
      </c>
      <c r="X87" s="179"/>
      <c r="Y87" s="180"/>
      <c r="Z87" s="179"/>
      <c r="AA87" s="180"/>
      <c r="AB87" s="180"/>
    </row>
    <row r="88" spans="17:28" ht="15.5" x14ac:dyDescent="0.45">
      <c r="Q88" s="184"/>
      <c r="R88" s="173">
        <v>4.7500000000000001E-2</v>
      </c>
      <c r="S88" s="174" t="s">
        <v>262</v>
      </c>
      <c r="T88" s="175">
        <v>3000</v>
      </c>
      <c r="U88" s="176">
        <v>4.7500000000000001E-2</v>
      </c>
      <c r="V88" s="174" t="s">
        <v>262</v>
      </c>
      <c r="W88" s="175">
        <v>3000</v>
      </c>
      <c r="X88" s="179"/>
      <c r="Y88" s="180"/>
      <c r="Z88" s="179"/>
      <c r="AA88" s="180"/>
      <c r="AB88" s="180"/>
    </row>
    <row r="89" spans="17:28" ht="15.5" x14ac:dyDescent="0.45">
      <c r="Q89" s="184"/>
      <c r="R89" s="173">
        <v>0.05</v>
      </c>
      <c r="S89" s="174" t="s">
        <v>262</v>
      </c>
      <c r="T89" s="175">
        <v>100000</v>
      </c>
      <c r="U89" s="176">
        <v>0.05</v>
      </c>
      <c r="V89" s="174" t="s">
        <v>262</v>
      </c>
      <c r="W89" s="175">
        <v>150000</v>
      </c>
      <c r="X89" s="179"/>
      <c r="Y89" s="180"/>
      <c r="Z89" s="179"/>
      <c r="AA89" s="180"/>
      <c r="AB89" s="180"/>
    </row>
    <row r="90" spans="17:28" ht="15.5" x14ac:dyDescent="0.45">
      <c r="Q90" s="184"/>
      <c r="R90" s="173">
        <v>5.2499999999999998E-2</v>
      </c>
      <c r="S90" s="174" t="s">
        <v>262</v>
      </c>
      <c r="T90" s="175">
        <v>125000</v>
      </c>
      <c r="U90" s="176">
        <v>5.2499999999999998E-2</v>
      </c>
      <c r="V90" s="174" t="s">
        <v>262</v>
      </c>
      <c r="W90" s="175">
        <v>175000</v>
      </c>
      <c r="X90" s="179"/>
      <c r="Y90" s="180"/>
      <c r="Z90" s="179"/>
      <c r="AA90" s="180"/>
      <c r="AB90" s="180"/>
    </row>
    <row r="91" spans="17:28" ht="15.5" x14ac:dyDescent="0.45">
      <c r="Q91" s="184"/>
      <c r="R91" s="173">
        <v>5.5E-2</v>
      </c>
      <c r="S91" s="174" t="s">
        <v>262</v>
      </c>
      <c r="T91" s="175">
        <v>150000</v>
      </c>
      <c r="U91" s="176">
        <v>5.5E-2</v>
      </c>
      <c r="V91" s="174" t="s">
        <v>262</v>
      </c>
      <c r="W91" s="175">
        <v>225000</v>
      </c>
      <c r="X91" s="179"/>
      <c r="Y91" s="180"/>
      <c r="Z91" s="179"/>
      <c r="AA91" s="180"/>
      <c r="AB91" s="180"/>
    </row>
    <row r="92" spans="17:28" ht="15.5" x14ac:dyDescent="0.45">
      <c r="Q92" s="184"/>
      <c r="R92" s="173">
        <v>5.7500000000000002E-2</v>
      </c>
      <c r="S92" s="174" t="s">
        <v>262</v>
      </c>
      <c r="T92" s="175">
        <v>250000</v>
      </c>
      <c r="U92" s="176">
        <v>5.7500000000000002E-2</v>
      </c>
      <c r="V92" s="174" t="s">
        <v>262</v>
      </c>
      <c r="W92" s="175">
        <v>300000</v>
      </c>
      <c r="X92" s="179"/>
      <c r="Y92" s="180"/>
      <c r="Z92" s="179"/>
      <c r="AA92" s="180"/>
      <c r="AB92" s="180"/>
    </row>
    <row r="93" spans="17:28" ht="15.5" x14ac:dyDescent="0.45">
      <c r="Q93" s="184"/>
      <c r="R93" s="185"/>
      <c r="S93" s="174"/>
      <c r="T93" s="172"/>
      <c r="U93" s="186"/>
      <c r="V93" s="174"/>
      <c r="W93" s="172"/>
      <c r="X93" s="179"/>
      <c r="Y93" s="180"/>
      <c r="Z93" s="179"/>
      <c r="AA93" s="180"/>
      <c r="AB93" s="180"/>
    </row>
    <row r="94" spans="17:28" ht="15.5" x14ac:dyDescent="0.45">
      <c r="Q94" s="172" t="s">
        <v>326</v>
      </c>
      <c r="R94" s="176">
        <v>0.05</v>
      </c>
      <c r="S94" s="172" t="s">
        <v>262</v>
      </c>
      <c r="T94" s="175">
        <v>0</v>
      </c>
      <c r="U94" s="176">
        <v>0.05</v>
      </c>
      <c r="V94" s="172" t="s">
        <v>262</v>
      </c>
      <c r="W94" s="175">
        <v>0</v>
      </c>
      <c r="X94" s="179" t="s">
        <v>273</v>
      </c>
      <c r="Y94" s="180" t="s">
        <v>273</v>
      </c>
      <c r="Z94" s="177">
        <v>4400</v>
      </c>
      <c r="AA94" s="175">
        <v>8800</v>
      </c>
      <c r="AB94" s="175">
        <v>1000</v>
      </c>
    </row>
    <row r="95" spans="17:28" ht="15.5" x14ac:dyDescent="0.45">
      <c r="Q95" s="184"/>
      <c r="R95" s="176">
        <v>0.09</v>
      </c>
      <c r="S95" s="172" t="s">
        <v>262</v>
      </c>
      <c r="T95" s="194">
        <v>1000000</v>
      </c>
      <c r="U95" s="176">
        <v>0.09</v>
      </c>
      <c r="V95" s="172" t="s">
        <v>262</v>
      </c>
      <c r="W95" s="194">
        <v>1000000</v>
      </c>
      <c r="X95" s="179"/>
      <c r="Y95" s="180"/>
      <c r="Z95" s="179"/>
      <c r="AA95" s="180"/>
      <c r="AB95" s="180"/>
    </row>
    <row r="96" spans="17:28" ht="15.5" x14ac:dyDescent="0.45">
      <c r="Q96" s="184"/>
      <c r="R96" s="185"/>
      <c r="S96" s="174"/>
      <c r="T96" s="172"/>
      <c r="U96" s="186"/>
      <c r="V96" s="174"/>
      <c r="W96" s="172"/>
      <c r="X96" s="179"/>
      <c r="Y96" s="180"/>
      <c r="Z96" s="179"/>
      <c r="AA96" s="180"/>
      <c r="AB96" s="180"/>
    </row>
    <row r="97" spans="17:28" ht="15.5" x14ac:dyDescent="0.45">
      <c r="Q97" s="172" t="s">
        <v>327</v>
      </c>
      <c r="R97" s="173">
        <v>4.2500000000000003E-2</v>
      </c>
      <c r="S97" s="172" t="s">
        <v>262</v>
      </c>
      <c r="T97" s="175">
        <v>0</v>
      </c>
      <c r="U97" s="176">
        <v>4.2500000000000003E-2</v>
      </c>
      <c r="V97" s="172" t="s">
        <v>262</v>
      </c>
      <c r="W97" s="175">
        <v>0</v>
      </c>
      <c r="X97" s="179" t="s">
        <v>273</v>
      </c>
      <c r="Y97" s="180" t="s">
        <v>273</v>
      </c>
      <c r="Z97" s="177">
        <v>5600</v>
      </c>
      <c r="AA97" s="175">
        <v>11200</v>
      </c>
      <c r="AB97" s="175">
        <v>5600</v>
      </c>
    </row>
    <row r="98" spans="17:28" ht="15.5" x14ac:dyDescent="0.45">
      <c r="Q98" s="184"/>
      <c r="R98" s="185"/>
      <c r="S98" s="174"/>
      <c r="T98" s="172"/>
      <c r="U98" s="186"/>
      <c r="V98" s="174"/>
      <c r="W98" s="198"/>
      <c r="X98" s="179"/>
      <c r="Y98" s="180"/>
      <c r="Z98" s="179"/>
      <c r="AA98" s="172"/>
      <c r="AB98" s="180"/>
    </row>
    <row r="99" spans="17:28" ht="15.5" x14ac:dyDescent="0.45">
      <c r="Q99" s="172" t="s">
        <v>328</v>
      </c>
      <c r="R99" s="173">
        <v>5.3499999999999999E-2</v>
      </c>
      <c r="S99" s="174" t="s">
        <v>262</v>
      </c>
      <c r="T99" s="175">
        <v>0</v>
      </c>
      <c r="U99" s="176">
        <v>5.3499999999999999E-2</v>
      </c>
      <c r="V99" s="174" t="s">
        <v>262</v>
      </c>
      <c r="W99" s="175">
        <v>0</v>
      </c>
      <c r="X99" s="177">
        <v>14575</v>
      </c>
      <c r="Y99" s="175">
        <v>29150</v>
      </c>
      <c r="Z99" s="177" t="s">
        <v>273</v>
      </c>
      <c r="AA99" s="175" t="s">
        <v>273</v>
      </c>
      <c r="AB99" s="175">
        <v>5050</v>
      </c>
    </row>
    <row r="100" spans="17:28" ht="15.5" x14ac:dyDescent="0.45">
      <c r="Q100" s="172" t="s">
        <v>329</v>
      </c>
      <c r="R100" s="173">
        <v>6.8000000000000005E-2</v>
      </c>
      <c r="S100" s="174" t="s">
        <v>262</v>
      </c>
      <c r="T100" s="175">
        <v>31690</v>
      </c>
      <c r="U100" s="176">
        <v>6.8000000000000005E-2</v>
      </c>
      <c r="V100" s="174" t="s">
        <v>262</v>
      </c>
      <c r="W100" s="175">
        <v>46330</v>
      </c>
      <c r="X100" s="179"/>
      <c r="Y100" s="180"/>
      <c r="Z100" s="179"/>
      <c r="AA100" s="180"/>
      <c r="AB100" s="180"/>
    </row>
    <row r="101" spans="17:28" ht="15.5" x14ac:dyDescent="0.45">
      <c r="Q101" s="184"/>
      <c r="R101" s="173">
        <v>7.85E-2</v>
      </c>
      <c r="S101" s="174" t="s">
        <v>262</v>
      </c>
      <c r="T101" s="175">
        <v>104090</v>
      </c>
      <c r="U101" s="176">
        <v>7.85E-2</v>
      </c>
      <c r="V101" s="174" t="s">
        <v>262</v>
      </c>
      <c r="W101" s="175">
        <v>184040</v>
      </c>
      <c r="X101" s="179"/>
      <c r="Y101" s="180"/>
      <c r="Z101" s="179"/>
      <c r="AA101" s="180"/>
      <c r="AB101" s="180"/>
    </row>
    <row r="102" spans="17:28" ht="15.5" x14ac:dyDescent="0.45">
      <c r="Q102" s="184"/>
      <c r="R102" s="173">
        <v>9.8500000000000004E-2</v>
      </c>
      <c r="S102" s="174" t="s">
        <v>262</v>
      </c>
      <c r="T102" s="175">
        <v>193240</v>
      </c>
      <c r="U102" s="176">
        <v>9.8500000000000004E-2</v>
      </c>
      <c r="V102" s="174" t="s">
        <v>262</v>
      </c>
      <c r="W102" s="175">
        <v>321450</v>
      </c>
      <c r="X102" s="179"/>
      <c r="Y102" s="180"/>
      <c r="Z102" s="179"/>
      <c r="AA102" s="180"/>
      <c r="AB102" s="180"/>
    </row>
    <row r="103" spans="17:28" ht="15.5" x14ac:dyDescent="0.45">
      <c r="Q103" s="184"/>
      <c r="R103" s="185"/>
      <c r="S103" s="174"/>
      <c r="T103" s="172"/>
      <c r="U103" s="186"/>
      <c r="V103" s="174"/>
      <c r="W103" s="172"/>
      <c r="X103" s="179"/>
      <c r="Y103" s="180"/>
      <c r="Z103" s="179"/>
      <c r="AA103" s="180"/>
      <c r="AB103" s="180"/>
    </row>
    <row r="104" spans="17:28" ht="15.5" x14ac:dyDescent="0.45">
      <c r="Q104" s="172" t="s">
        <v>330</v>
      </c>
      <c r="R104" s="173">
        <v>4.7E-2</v>
      </c>
      <c r="S104" s="174" t="s">
        <v>262</v>
      </c>
      <c r="T104" s="175">
        <v>10000</v>
      </c>
      <c r="U104" s="176">
        <v>4.7E-2</v>
      </c>
      <c r="V104" s="174" t="s">
        <v>262</v>
      </c>
      <c r="W104" s="175">
        <v>10000</v>
      </c>
      <c r="X104" s="177">
        <v>2300</v>
      </c>
      <c r="Y104" s="175">
        <v>4600</v>
      </c>
      <c r="Z104" s="177">
        <v>6000</v>
      </c>
      <c r="AA104" s="175">
        <v>12000</v>
      </c>
      <c r="AB104" s="175">
        <v>1500</v>
      </c>
    </row>
    <row r="105" spans="17:28" ht="15.5" x14ac:dyDescent="0.45">
      <c r="Q105" s="184"/>
      <c r="R105" s="174"/>
      <c r="S105" s="174"/>
      <c r="T105" s="172"/>
      <c r="U105" s="172"/>
      <c r="V105" s="174"/>
      <c r="W105" s="172"/>
      <c r="X105" s="179"/>
      <c r="Y105" s="180"/>
      <c r="Z105" s="179"/>
      <c r="AA105" s="180"/>
      <c r="AB105" s="180"/>
    </row>
    <row r="106" spans="17:28" ht="15.5" x14ac:dyDescent="0.45">
      <c r="Q106" s="172" t="s">
        <v>331</v>
      </c>
      <c r="R106" s="173">
        <v>0.02</v>
      </c>
      <c r="S106" s="174" t="s">
        <v>262</v>
      </c>
      <c r="T106" s="175">
        <v>1273</v>
      </c>
      <c r="U106" s="176">
        <v>0.02</v>
      </c>
      <c r="V106" s="174" t="s">
        <v>262</v>
      </c>
      <c r="W106" s="175">
        <v>1207</v>
      </c>
      <c r="X106" s="177">
        <v>14600</v>
      </c>
      <c r="Y106" s="175">
        <v>29200</v>
      </c>
      <c r="Z106" s="179" t="s">
        <v>332</v>
      </c>
      <c r="AA106" s="180" t="s">
        <v>332</v>
      </c>
      <c r="AB106" s="180" t="s">
        <v>332</v>
      </c>
    </row>
    <row r="107" spans="17:28" ht="15.5" x14ac:dyDescent="0.45">
      <c r="Q107" s="172" t="s">
        <v>333</v>
      </c>
      <c r="R107" s="173">
        <v>2.5000000000000001E-2</v>
      </c>
      <c r="S107" s="174" t="s">
        <v>262</v>
      </c>
      <c r="T107" s="175">
        <v>2546</v>
      </c>
      <c r="U107" s="176">
        <v>2.5000000000000001E-2</v>
      </c>
      <c r="V107" s="174" t="s">
        <v>262</v>
      </c>
      <c r="W107" s="175">
        <v>2414</v>
      </c>
      <c r="X107" s="179"/>
      <c r="Y107" s="180"/>
      <c r="Z107" s="179"/>
      <c r="AA107" s="180"/>
      <c r="AB107" s="173"/>
    </row>
    <row r="108" spans="17:28" ht="15.5" x14ac:dyDescent="0.45">
      <c r="Q108" s="184"/>
      <c r="R108" s="173">
        <v>0.03</v>
      </c>
      <c r="S108" s="174" t="s">
        <v>262</v>
      </c>
      <c r="T108" s="175">
        <v>3819</v>
      </c>
      <c r="U108" s="176">
        <v>0.03</v>
      </c>
      <c r="V108" s="174" t="s">
        <v>262</v>
      </c>
      <c r="W108" s="175">
        <v>3621</v>
      </c>
      <c r="X108" s="179"/>
      <c r="Y108" s="180"/>
      <c r="Z108" s="179"/>
      <c r="AA108" s="180"/>
      <c r="AB108" s="173"/>
    </row>
    <row r="109" spans="17:28" ht="15.5" x14ac:dyDescent="0.45">
      <c r="Q109" s="184"/>
      <c r="R109" s="173">
        <v>3.5000000000000003E-2</v>
      </c>
      <c r="S109" s="174" t="s">
        <v>262</v>
      </c>
      <c r="T109" s="175">
        <v>5092</v>
      </c>
      <c r="U109" s="176">
        <v>3.5000000000000003E-2</v>
      </c>
      <c r="V109" s="174" t="s">
        <v>262</v>
      </c>
      <c r="W109" s="175">
        <v>4828</v>
      </c>
      <c r="X109" s="179"/>
      <c r="Y109" s="180"/>
      <c r="Z109" s="179"/>
      <c r="AA109" s="180"/>
      <c r="AB109" s="173"/>
    </row>
    <row r="110" spans="17:28" ht="15.5" x14ac:dyDescent="0.45">
      <c r="Q110" s="184"/>
      <c r="R110" s="173">
        <v>0.04</v>
      </c>
      <c r="S110" s="174" t="s">
        <v>262</v>
      </c>
      <c r="T110" s="175">
        <v>6365</v>
      </c>
      <c r="U110" s="176">
        <v>0.04</v>
      </c>
      <c r="V110" s="174" t="s">
        <v>262</v>
      </c>
      <c r="W110" s="175">
        <v>6035</v>
      </c>
      <c r="X110" s="179"/>
      <c r="Y110" s="180"/>
      <c r="Z110" s="179"/>
      <c r="AA110" s="180"/>
      <c r="AB110" s="173"/>
    </row>
    <row r="111" spans="17:28" ht="15.5" x14ac:dyDescent="0.45">
      <c r="Q111" s="184"/>
      <c r="R111" s="173">
        <v>4.4999999999999998E-2</v>
      </c>
      <c r="S111" s="174" t="s">
        <v>262</v>
      </c>
      <c r="T111" s="175">
        <v>7638</v>
      </c>
      <c r="U111" s="176">
        <v>4.4999999999999998E-2</v>
      </c>
      <c r="V111" s="174" t="s">
        <v>262</v>
      </c>
      <c r="W111" s="175">
        <v>7242</v>
      </c>
      <c r="X111" s="179"/>
      <c r="Y111" s="180"/>
      <c r="Z111" s="179"/>
      <c r="AA111" s="180"/>
      <c r="AB111" s="173"/>
    </row>
    <row r="112" spans="17:28" ht="15.5" x14ac:dyDescent="0.45">
      <c r="Q112" s="184"/>
      <c r="R112" s="173">
        <v>4.8000000000000001E-2</v>
      </c>
      <c r="S112" s="174" t="s">
        <v>262</v>
      </c>
      <c r="T112" s="175">
        <v>8911</v>
      </c>
      <c r="U112" s="173">
        <v>4.8000000000000001E-2</v>
      </c>
      <c r="V112" s="174" t="s">
        <v>262</v>
      </c>
      <c r="W112" s="175">
        <v>8449</v>
      </c>
      <c r="X112" s="179"/>
      <c r="Y112" s="180"/>
      <c r="Z112" s="179"/>
      <c r="AA112" s="180"/>
      <c r="AB112" s="173"/>
    </row>
    <row r="113" spans="17:28" ht="15.5" x14ac:dyDescent="0.45">
      <c r="Q113" s="184"/>
      <c r="R113" s="189"/>
      <c r="S113" s="174"/>
      <c r="T113" s="172"/>
      <c r="U113" s="186"/>
      <c r="V113" s="174"/>
      <c r="W113" s="172"/>
      <c r="X113" s="179"/>
      <c r="Y113" s="180"/>
      <c r="Z113" s="179"/>
      <c r="AA113" s="180"/>
      <c r="AB113" s="173"/>
    </row>
    <row r="114" spans="17:28" ht="15.5" x14ac:dyDescent="0.45">
      <c r="Q114" s="172" t="s">
        <v>334</v>
      </c>
      <c r="R114" s="173">
        <v>4.7E-2</v>
      </c>
      <c r="S114" s="174" t="s">
        <v>262</v>
      </c>
      <c r="T114" s="175">
        <v>0</v>
      </c>
      <c r="U114" s="173">
        <v>4.7E-2</v>
      </c>
      <c r="V114" s="174" t="s">
        <v>262</v>
      </c>
      <c r="W114" s="175">
        <v>0</v>
      </c>
      <c r="X114" s="177">
        <v>14600</v>
      </c>
      <c r="Y114" s="175">
        <v>29200</v>
      </c>
      <c r="Z114" s="179" t="s">
        <v>332</v>
      </c>
      <c r="AA114" s="180" t="s">
        <v>332</v>
      </c>
      <c r="AB114" s="180" t="s">
        <v>332</v>
      </c>
    </row>
    <row r="115" spans="17:28" ht="15.5" x14ac:dyDescent="0.45">
      <c r="Q115" s="172" t="s">
        <v>335</v>
      </c>
      <c r="R115" s="173">
        <v>5.8999999999999997E-2</v>
      </c>
      <c r="S115" s="174" t="s">
        <v>262</v>
      </c>
      <c r="T115" s="175">
        <v>20500</v>
      </c>
      <c r="U115" s="173">
        <v>5.8999999999999997E-2</v>
      </c>
      <c r="V115" s="174" t="s">
        <v>262</v>
      </c>
      <c r="W115" s="175">
        <v>41000</v>
      </c>
      <c r="X115" s="179"/>
      <c r="Y115" s="180"/>
      <c r="Z115" s="179"/>
      <c r="AA115" s="180"/>
      <c r="AB115" s="180"/>
    </row>
    <row r="116" spans="17:28" ht="15.5" x14ac:dyDescent="0.45">
      <c r="Q116" s="184"/>
      <c r="R116" s="189"/>
      <c r="S116" s="174"/>
      <c r="T116" s="172"/>
      <c r="U116" s="186"/>
      <c r="V116" s="174"/>
      <c r="W116" s="172"/>
      <c r="X116" s="179"/>
      <c r="Y116" s="180"/>
      <c r="Z116" s="179"/>
      <c r="AA116" s="180"/>
      <c r="AB116" s="180"/>
    </row>
    <row r="117" spans="17:28" ht="15.5" x14ac:dyDescent="0.45">
      <c r="Q117" s="172" t="s">
        <v>336</v>
      </c>
      <c r="R117" s="176">
        <v>2.46E-2</v>
      </c>
      <c r="S117" s="172" t="s">
        <v>262</v>
      </c>
      <c r="T117" s="175">
        <v>0</v>
      </c>
      <c r="U117" s="176">
        <v>2.46E-2</v>
      </c>
      <c r="V117" s="172" t="s">
        <v>262</v>
      </c>
      <c r="W117" s="175">
        <v>0</v>
      </c>
      <c r="X117" s="177">
        <v>7900</v>
      </c>
      <c r="Y117" s="175">
        <v>15800</v>
      </c>
      <c r="Z117" s="180" t="s">
        <v>337</v>
      </c>
      <c r="AA117" s="180" t="s">
        <v>338</v>
      </c>
      <c r="AB117" s="180" t="s">
        <v>337</v>
      </c>
    </row>
    <row r="118" spans="17:28" ht="15.5" x14ac:dyDescent="0.45">
      <c r="Q118" s="172" t="s">
        <v>339</v>
      </c>
      <c r="R118" s="176">
        <v>3.5099999999999999E-2</v>
      </c>
      <c r="S118" s="172" t="s">
        <v>262</v>
      </c>
      <c r="T118" s="175">
        <v>3700</v>
      </c>
      <c r="U118" s="176">
        <v>3.5099999999999999E-2</v>
      </c>
      <c r="V118" s="172" t="s">
        <v>262</v>
      </c>
      <c r="W118" s="175">
        <v>7390</v>
      </c>
      <c r="X118" s="179"/>
      <c r="Y118" s="180"/>
      <c r="Z118" s="172"/>
      <c r="AA118" s="172"/>
      <c r="AB118" s="172"/>
    </row>
    <row r="119" spans="17:28" ht="15.5" x14ac:dyDescent="0.45">
      <c r="Q119" s="184"/>
      <c r="R119" s="176">
        <v>5.0099999999999999E-2</v>
      </c>
      <c r="S119" s="172" t="s">
        <v>262</v>
      </c>
      <c r="T119" s="175">
        <v>22170</v>
      </c>
      <c r="U119" s="176">
        <v>5.0099999999999999E-2</v>
      </c>
      <c r="V119" s="172" t="s">
        <v>262</v>
      </c>
      <c r="W119" s="175">
        <v>44350</v>
      </c>
      <c r="X119" s="179"/>
      <c r="Y119" s="180"/>
      <c r="Z119" s="179"/>
      <c r="AA119" s="180"/>
      <c r="AB119" s="180"/>
    </row>
    <row r="120" spans="17:28" ht="15.5" x14ac:dyDescent="0.45">
      <c r="Q120" s="184"/>
      <c r="R120" s="176">
        <v>5.8400000000000001E-2</v>
      </c>
      <c r="S120" s="172" t="s">
        <v>262</v>
      </c>
      <c r="T120" s="175">
        <v>35730</v>
      </c>
      <c r="U120" s="176">
        <v>5.8400000000000001E-2</v>
      </c>
      <c r="V120" s="172" t="s">
        <v>262</v>
      </c>
      <c r="W120" s="175">
        <v>71460</v>
      </c>
      <c r="X120" s="179"/>
      <c r="Y120" s="180"/>
      <c r="Z120" s="179"/>
      <c r="AA120" s="180"/>
      <c r="AB120" s="180"/>
    </row>
    <row r="121" spans="17:28" ht="15.5" x14ac:dyDescent="0.45">
      <c r="Q121" s="184"/>
      <c r="R121" s="185"/>
      <c r="S121" s="174"/>
      <c r="T121" s="172"/>
      <c r="U121" s="186"/>
      <c r="V121" s="174"/>
      <c r="W121" s="172"/>
      <c r="X121" s="179"/>
      <c r="Y121" s="180"/>
      <c r="Z121" s="179"/>
      <c r="AA121" s="180"/>
      <c r="AB121" s="180"/>
    </row>
    <row r="122" spans="17:28" ht="15.5" x14ac:dyDescent="0.45">
      <c r="Q122" s="172" t="s">
        <v>340</v>
      </c>
      <c r="R122" s="187" t="s">
        <v>272</v>
      </c>
      <c r="S122" s="188"/>
      <c r="T122" s="188"/>
      <c r="U122" s="187" t="s">
        <v>272</v>
      </c>
      <c r="V122" s="188"/>
      <c r="W122" s="188"/>
      <c r="X122" s="179" t="s">
        <v>273</v>
      </c>
      <c r="Y122" s="180" t="s">
        <v>273</v>
      </c>
      <c r="Z122" s="179" t="s">
        <v>273</v>
      </c>
      <c r="AA122" s="180" t="s">
        <v>273</v>
      </c>
      <c r="AB122" s="180" t="s">
        <v>273</v>
      </c>
    </row>
    <row r="123" spans="17:28" ht="15.5" x14ac:dyDescent="0.45">
      <c r="Q123" s="184"/>
      <c r="R123" s="185"/>
      <c r="S123" s="174"/>
      <c r="T123" s="172"/>
      <c r="U123" s="186"/>
      <c r="V123" s="174"/>
      <c r="W123" s="172"/>
      <c r="X123" s="179"/>
      <c r="Y123" s="180"/>
      <c r="Z123" s="179"/>
      <c r="AA123" s="180"/>
      <c r="AB123" s="180"/>
    </row>
    <row r="124" spans="17:28" ht="15.5" x14ac:dyDescent="0.45">
      <c r="Q124" s="172" t="s">
        <v>341</v>
      </c>
      <c r="R124" s="199" t="s">
        <v>342</v>
      </c>
      <c r="S124" s="200"/>
      <c r="T124" s="200"/>
      <c r="U124" s="199" t="s">
        <v>342</v>
      </c>
      <c r="V124" s="200"/>
      <c r="W124" s="200"/>
      <c r="X124" s="179" t="s">
        <v>332</v>
      </c>
      <c r="Y124" s="180" t="s">
        <v>332</v>
      </c>
      <c r="Z124" s="177">
        <v>2400</v>
      </c>
      <c r="AA124" s="175">
        <v>4800</v>
      </c>
      <c r="AB124" s="180" t="s">
        <v>273</v>
      </c>
    </row>
    <row r="125" spans="17:28" ht="15.5" x14ac:dyDescent="0.45">
      <c r="Q125" s="184"/>
      <c r="R125" s="185"/>
      <c r="S125" s="174"/>
      <c r="T125" s="172"/>
      <c r="U125" s="186"/>
      <c r="V125" s="174"/>
      <c r="W125" s="172"/>
      <c r="X125" s="179"/>
      <c r="Y125" s="180"/>
      <c r="Z125" s="179"/>
      <c r="AA125" s="180"/>
      <c r="AB125" s="180"/>
    </row>
    <row r="126" spans="17:28" ht="15.5" x14ac:dyDescent="0.45">
      <c r="Q126" s="172" t="s">
        <v>343</v>
      </c>
      <c r="R126" s="201">
        <v>1.4E-2</v>
      </c>
      <c r="S126" s="174" t="s">
        <v>262</v>
      </c>
      <c r="T126" s="175">
        <v>0</v>
      </c>
      <c r="U126" s="202">
        <v>1.4E-2</v>
      </c>
      <c r="V126" s="174" t="s">
        <v>262</v>
      </c>
      <c r="W126" s="175">
        <v>0</v>
      </c>
      <c r="X126" s="179" t="s">
        <v>273</v>
      </c>
      <c r="Y126" s="180" t="s">
        <v>273</v>
      </c>
      <c r="Z126" s="177">
        <v>1000</v>
      </c>
      <c r="AA126" s="175">
        <v>2000</v>
      </c>
      <c r="AB126" s="175">
        <v>1500</v>
      </c>
    </row>
    <row r="127" spans="17:28" ht="15.5" x14ac:dyDescent="0.45">
      <c r="Q127" s="172" t="s">
        <v>344</v>
      </c>
      <c r="R127" s="201">
        <v>1.7500000000000002E-2</v>
      </c>
      <c r="S127" s="174" t="s">
        <v>262</v>
      </c>
      <c r="T127" s="175">
        <v>20000</v>
      </c>
      <c r="U127" s="202">
        <v>1.7500000000000002E-2</v>
      </c>
      <c r="V127" s="174" t="s">
        <v>262</v>
      </c>
      <c r="W127" s="175">
        <v>20000</v>
      </c>
      <c r="X127" s="179"/>
      <c r="Y127" s="180"/>
      <c r="Z127" s="179"/>
      <c r="AA127" s="180"/>
      <c r="AB127" s="180"/>
    </row>
    <row r="128" spans="17:28" ht="15.5" x14ac:dyDescent="0.45">
      <c r="Q128" s="184"/>
      <c r="R128" s="201">
        <v>3.5000000000000003E-2</v>
      </c>
      <c r="S128" s="174" t="s">
        <v>262</v>
      </c>
      <c r="T128" s="175">
        <v>35000</v>
      </c>
      <c r="U128" s="202">
        <v>2.4500000000000001E-2</v>
      </c>
      <c r="V128" s="174" t="s">
        <v>262</v>
      </c>
      <c r="W128" s="175">
        <v>50000</v>
      </c>
      <c r="X128" s="179"/>
      <c r="Y128" s="180"/>
      <c r="Z128" s="179"/>
      <c r="AA128" s="180"/>
      <c r="AB128" s="180"/>
    </row>
    <row r="129" spans="17:28" ht="15.5" x14ac:dyDescent="0.45">
      <c r="Q129" s="184"/>
      <c r="R129" s="201">
        <v>5.525E-2</v>
      </c>
      <c r="S129" s="174" t="s">
        <v>262</v>
      </c>
      <c r="T129" s="175">
        <v>40000</v>
      </c>
      <c r="U129" s="202">
        <v>3.5000000000000003E-2</v>
      </c>
      <c r="V129" s="174" t="s">
        <v>262</v>
      </c>
      <c r="W129" s="175">
        <v>70000</v>
      </c>
      <c r="X129" s="179"/>
      <c r="Y129" s="180"/>
      <c r="Z129" s="179"/>
      <c r="AA129" s="180"/>
      <c r="AB129" s="180"/>
    </row>
    <row r="130" spans="17:28" ht="15.5" x14ac:dyDescent="0.45">
      <c r="Q130" s="184"/>
      <c r="R130" s="201">
        <v>6.3700000000000007E-2</v>
      </c>
      <c r="S130" s="174" t="s">
        <v>262</v>
      </c>
      <c r="T130" s="175">
        <v>75000</v>
      </c>
      <c r="U130" s="202">
        <v>5.525E-2</v>
      </c>
      <c r="V130" s="174" t="s">
        <v>262</v>
      </c>
      <c r="W130" s="175">
        <v>80000</v>
      </c>
      <c r="X130" s="179"/>
      <c r="Y130" s="180"/>
      <c r="Z130" s="179"/>
      <c r="AA130" s="180"/>
      <c r="AB130" s="180"/>
    </row>
    <row r="131" spans="17:28" ht="15.5" x14ac:dyDescent="0.45">
      <c r="Q131" s="184"/>
      <c r="R131" s="201">
        <v>8.9700000000000002E-2</v>
      </c>
      <c r="S131" s="174" t="s">
        <v>262</v>
      </c>
      <c r="T131" s="175">
        <v>500000</v>
      </c>
      <c r="U131" s="202">
        <v>6.3700000000000007E-2</v>
      </c>
      <c r="V131" s="174" t="s">
        <v>262</v>
      </c>
      <c r="W131" s="175">
        <v>150000</v>
      </c>
      <c r="X131" s="179"/>
      <c r="Y131" s="180"/>
      <c r="Z131" s="179"/>
      <c r="AA131" s="180"/>
      <c r="AB131" s="180"/>
    </row>
    <row r="132" spans="17:28" ht="15.5" x14ac:dyDescent="0.45">
      <c r="Q132" s="184"/>
      <c r="R132" s="201">
        <v>0.1075</v>
      </c>
      <c r="S132" s="174" t="s">
        <v>262</v>
      </c>
      <c r="T132" s="175">
        <v>1000000</v>
      </c>
      <c r="U132" s="202">
        <v>8.9700000000000002E-2</v>
      </c>
      <c r="V132" s="174" t="s">
        <v>262</v>
      </c>
      <c r="W132" s="175">
        <v>500000</v>
      </c>
      <c r="X132" s="179"/>
      <c r="Y132" s="180"/>
      <c r="Z132" s="179"/>
      <c r="AA132" s="180"/>
      <c r="AB132" s="180"/>
    </row>
    <row r="133" spans="17:28" ht="15.5" x14ac:dyDescent="0.45">
      <c r="Q133" s="184"/>
      <c r="R133" s="185"/>
      <c r="S133" s="174"/>
      <c r="T133" s="172"/>
      <c r="U133" s="203">
        <v>0.1075</v>
      </c>
      <c r="V133" s="174" t="s">
        <v>262</v>
      </c>
      <c r="W133" s="175">
        <v>1000000</v>
      </c>
      <c r="X133" s="172"/>
      <c r="Y133" s="180"/>
      <c r="Z133" s="179"/>
      <c r="AA133" s="180"/>
      <c r="AB133" s="180"/>
    </row>
    <row r="134" spans="17:28" ht="15.5" x14ac:dyDescent="0.45">
      <c r="Q134" s="184"/>
      <c r="R134" s="185"/>
      <c r="S134" s="174"/>
      <c r="T134" s="172"/>
      <c r="U134" s="186"/>
      <c r="V134" s="174"/>
      <c r="W134" s="172"/>
      <c r="X134" s="179"/>
      <c r="Y134" s="180"/>
      <c r="Z134" s="179"/>
      <c r="AA134" s="180"/>
      <c r="AB134" s="180"/>
    </row>
    <row r="135" spans="17:28" ht="15.5" x14ac:dyDescent="0.45">
      <c r="Q135" s="172" t="s">
        <v>345</v>
      </c>
      <c r="R135" s="173">
        <v>1.7000000000000001E-2</v>
      </c>
      <c r="S135" s="174" t="s">
        <v>262</v>
      </c>
      <c r="T135" s="175">
        <v>0</v>
      </c>
      <c r="U135" s="176">
        <v>1.7000000000000001E-2</v>
      </c>
      <c r="V135" s="174" t="s">
        <v>262</v>
      </c>
      <c r="W135" s="175">
        <v>0</v>
      </c>
      <c r="X135" s="177">
        <v>14600</v>
      </c>
      <c r="Y135" s="175">
        <v>29200</v>
      </c>
      <c r="Z135" s="179" t="s">
        <v>273</v>
      </c>
      <c r="AA135" s="180" t="s">
        <v>273</v>
      </c>
      <c r="AB135" s="181">
        <v>4000</v>
      </c>
    </row>
    <row r="136" spans="17:28" ht="15.5" x14ac:dyDescent="0.45">
      <c r="Q136" s="172" t="s">
        <v>346</v>
      </c>
      <c r="R136" s="173">
        <v>3.2000000000000001E-2</v>
      </c>
      <c r="S136" s="174" t="s">
        <v>262</v>
      </c>
      <c r="T136" s="175">
        <v>5500</v>
      </c>
      <c r="U136" s="176">
        <v>3.2000000000000001E-2</v>
      </c>
      <c r="V136" s="174" t="s">
        <v>262</v>
      </c>
      <c r="W136" s="175">
        <v>8000</v>
      </c>
      <c r="X136" s="179"/>
      <c r="Y136" s="180"/>
      <c r="Z136" s="179"/>
      <c r="AA136" s="180"/>
      <c r="AB136" s="180"/>
    </row>
    <row r="137" spans="17:28" ht="15.5" x14ac:dyDescent="0.45">
      <c r="Q137" s="184"/>
      <c r="R137" s="173">
        <v>4.7E-2</v>
      </c>
      <c r="S137" s="174" t="s">
        <v>262</v>
      </c>
      <c r="T137" s="175">
        <v>11000</v>
      </c>
      <c r="U137" s="176">
        <v>4.7E-2</v>
      </c>
      <c r="V137" s="174" t="s">
        <v>262</v>
      </c>
      <c r="W137" s="175">
        <v>16000</v>
      </c>
      <c r="X137" s="179"/>
      <c r="Y137" s="180"/>
      <c r="Z137" s="179"/>
      <c r="AA137" s="180"/>
      <c r="AB137" s="180"/>
    </row>
    <row r="138" spans="17:28" ht="15.5" x14ac:dyDescent="0.45">
      <c r="Q138" s="184"/>
      <c r="R138" s="173">
        <v>4.9000000000000002E-2</v>
      </c>
      <c r="S138" s="174" t="s">
        <v>262</v>
      </c>
      <c r="T138" s="175">
        <v>16000</v>
      </c>
      <c r="U138" s="176">
        <v>4.9000000000000002E-2</v>
      </c>
      <c r="V138" s="174" t="s">
        <v>262</v>
      </c>
      <c r="W138" s="175">
        <v>24000</v>
      </c>
      <c r="X138" s="179"/>
      <c r="Y138" s="180"/>
      <c r="Z138" s="179"/>
      <c r="AA138" s="180"/>
      <c r="AB138" s="180"/>
    </row>
    <row r="139" spans="17:28" ht="15.5" x14ac:dyDescent="0.45">
      <c r="Q139" s="184"/>
      <c r="R139" s="173">
        <v>5.8999999999999997E-2</v>
      </c>
      <c r="S139" s="174" t="s">
        <v>262</v>
      </c>
      <c r="T139" s="175">
        <v>210000</v>
      </c>
      <c r="U139" s="176">
        <v>5.8999999999999997E-2</v>
      </c>
      <c r="V139" s="174" t="s">
        <v>262</v>
      </c>
      <c r="W139" s="175">
        <v>315000</v>
      </c>
      <c r="X139" s="179"/>
      <c r="Y139" s="180"/>
      <c r="Z139" s="179"/>
      <c r="AA139" s="180"/>
      <c r="AB139" s="180"/>
    </row>
    <row r="140" spans="17:28" ht="15.5" x14ac:dyDescent="0.45">
      <c r="Q140" s="184"/>
      <c r="R140" s="185"/>
      <c r="S140" s="174"/>
      <c r="T140" s="172"/>
      <c r="U140" s="186"/>
      <c r="V140" s="174"/>
      <c r="W140" s="172"/>
      <c r="X140" s="179"/>
      <c r="Y140" s="180"/>
      <c r="Z140" s="179"/>
      <c r="AA140" s="180"/>
      <c r="AB140" s="180"/>
    </row>
    <row r="141" spans="17:28" ht="15.5" x14ac:dyDescent="0.45">
      <c r="Q141" s="172" t="s">
        <v>347</v>
      </c>
      <c r="R141" s="176">
        <v>0.04</v>
      </c>
      <c r="S141" s="174" t="s">
        <v>262</v>
      </c>
      <c r="T141" s="175">
        <v>0</v>
      </c>
      <c r="U141" s="176">
        <v>0.04</v>
      </c>
      <c r="V141" s="174" t="s">
        <v>262</v>
      </c>
      <c r="W141" s="175">
        <v>0</v>
      </c>
      <c r="X141" s="177">
        <v>8000</v>
      </c>
      <c r="Y141" s="175">
        <v>16050</v>
      </c>
      <c r="Z141" s="179" t="s">
        <v>273</v>
      </c>
      <c r="AA141" s="180" t="s">
        <v>273</v>
      </c>
      <c r="AB141" s="175">
        <v>1000</v>
      </c>
    </row>
    <row r="142" spans="17:28" ht="15.5" x14ac:dyDescent="0.45">
      <c r="Q142" s="172" t="s">
        <v>348</v>
      </c>
      <c r="R142" s="176">
        <v>4.4999999999999998E-2</v>
      </c>
      <c r="S142" s="174" t="s">
        <v>262</v>
      </c>
      <c r="T142" s="175">
        <v>8500</v>
      </c>
      <c r="U142" s="176">
        <v>4.4999999999999998E-2</v>
      </c>
      <c r="V142" s="174" t="s">
        <v>262</v>
      </c>
      <c r="W142" s="175">
        <v>17150</v>
      </c>
      <c r="X142" s="179"/>
      <c r="Y142" s="180"/>
      <c r="Z142" s="179"/>
      <c r="AA142" s="180"/>
      <c r="AB142" s="180"/>
    </row>
    <row r="143" spans="17:28" ht="15.5" x14ac:dyDescent="0.45">
      <c r="Q143" s="184"/>
      <c r="R143" s="176">
        <v>5.2499999999999998E-2</v>
      </c>
      <c r="S143" s="174" t="s">
        <v>262</v>
      </c>
      <c r="T143" s="175">
        <v>11700</v>
      </c>
      <c r="U143" s="176">
        <v>5.2499999999999998E-2</v>
      </c>
      <c r="V143" s="174" t="s">
        <v>262</v>
      </c>
      <c r="W143" s="175">
        <v>23600</v>
      </c>
      <c r="X143" s="179"/>
      <c r="Y143" s="180"/>
      <c r="Z143" s="179"/>
      <c r="AA143" s="180"/>
      <c r="AB143" s="180"/>
    </row>
    <row r="144" spans="17:28" ht="15.5" x14ac:dyDescent="0.45">
      <c r="Q144" s="184"/>
      <c r="R144" s="176">
        <v>5.5E-2</v>
      </c>
      <c r="S144" s="174" t="s">
        <v>262</v>
      </c>
      <c r="T144" s="175">
        <v>13900</v>
      </c>
      <c r="U144" s="176">
        <v>5.5E-2</v>
      </c>
      <c r="V144" s="174" t="s">
        <v>262</v>
      </c>
      <c r="W144" s="175">
        <v>27900</v>
      </c>
      <c r="X144" s="179"/>
      <c r="Y144" s="180"/>
      <c r="Z144" s="179"/>
      <c r="AA144" s="180"/>
      <c r="AB144" s="180"/>
    </row>
    <row r="145" spans="17:28" ht="15.5" x14ac:dyDescent="0.45">
      <c r="Q145" s="184"/>
      <c r="R145" s="176">
        <v>0.06</v>
      </c>
      <c r="S145" s="174" t="s">
        <v>262</v>
      </c>
      <c r="T145" s="175">
        <v>80650</v>
      </c>
      <c r="U145" s="176">
        <v>0.06</v>
      </c>
      <c r="V145" s="174" t="s">
        <v>262</v>
      </c>
      <c r="W145" s="175">
        <v>161550</v>
      </c>
      <c r="X145" s="179"/>
      <c r="Y145" s="180"/>
      <c r="Z145" s="179"/>
      <c r="AA145" s="180"/>
      <c r="AB145" s="180"/>
    </row>
    <row r="146" spans="17:28" ht="15.5" x14ac:dyDescent="0.45">
      <c r="Q146" s="184"/>
      <c r="R146" s="176">
        <v>6.8500000000000005E-2</v>
      </c>
      <c r="S146" s="174" t="s">
        <v>262</v>
      </c>
      <c r="T146" s="175">
        <v>215400</v>
      </c>
      <c r="U146" s="176">
        <v>6.8500000000000005E-2</v>
      </c>
      <c r="V146" s="174" t="s">
        <v>262</v>
      </c>
      <c r="W146" s="175">
        <v>323200</v>
      </c>
      <c r="X146" s="179"/>
      <c r="Y146" s="180"/>
      <c r="Z146" s="179"/>
      <c r="AA146" s="180"/>
      <c r="AB146" s="180"/>
    </row>
    <row r="147" spans="17:28" ht="15.5" x14ac:dyDescent="0.45">
      <c r="Q147" s="184"/>
      <c r="R147" s="176">
        <v>9.6500000000000002E-2</v>
      </c>
      <c r="S147" s="174" t="s">
        <v>262</v>
      </c>
      <c r="T147" s="175">
        <v>1077550</v>
      </c>
      <c r="U147" s="176">
        <v>9.6500000000000002E-2</v>
      </c>
      <c r="V147" s="174" t="s">
        <v>262</v>
      </c>
      <c r="W147" s="175">
        <v>2155350</v>
      </c>
      <c r="X147" s="179"/>
      <c r="Y147" s="180"/>
      <c r="Z147" s="179"/>
      <c r="AA147" s="180"/>
      <c r="AB147" s="180"/>
    </row>
    <row r="148" spans="17:28" ht="15.5" x14ac:dyDescent="0.45">
      <c r="Q148" s="184"/>
      <c r="R148" s="176">
        <v>0.10299999999999999</v>
      </c>
      <c r="S148" s="204" t="s">
        <v>262</v>
      </c>
      <c r="T148" s="175">
        <v>5000000</v>
      </c>
      <c r="U148" s="176">
        <v>0.10299999999999999</v>
      </c>
      <c r="V148" s="174" t="s">
        <v>262</v>
      </c>
      <c r="W148" s="175">
        <v>5000000</v>
      </c>
      <c r="X148" s="179"/>
      <c r="Y148" s="180"/>
      <c r="Z148" s="179"/>
      <c r="AA148" s="180"/>
      <c r="AB148" s="180"/>
    </row>
    <row r="149" spans="17:28" ht="15.5" x14ac:dyDescent="0.45">
      <c r="Q149" s="184"/>
      <c r="R149" s="176">
        <v>0.109</v>
      </c>
      <c r="S149" s="174" t="s">
        <v>262</v>
      </c>
      <c r="T149" s="175">
        <v>25000000</v>
      </c>
      <c r="U149" s="176">
        <v>0.109</v>
      </c>
      <c r="V149" s="174" t="s">
        <v>262</v>
      </c>
      <c r="W149" s="175">
        <v>25000000</v>
      </c>
      <c r="X149" s="179"/>
      <c r="Y149" s="180"/>
      <c r="Z149" s="179"/>
      <c r="AA149" s="180"/>
      <c r="AB149" s="180"/>
    </row>
    <row r="150" spans="17:28" ht="15.5" x14ac:dyDescent="0.45">
      <c r="Q150" s="184"/>
      <c r="R150" s="205"/>
      <c r="S150" s="174"/>
      <c r="T150" s="175"/>
      <c r="U150" s="176"/>
      <c r="V150" s="174"/>
      <c r="W150" s="175"/>
      <c r="X150" s="179"/>
      <c r="Y150" s="180"/>
      <c r="Z150" s="179"/>
      <c r="AA150" s="180"/>
      <c r="AB150" s="180"/>
    </row>
    <row r="151" spans="17:28" ht="15.5" x14ac:dyDescent="0.45">
      <c r="Q151" s="172" t="s">
        <v>349</v>
      </c>
      <c r="R151" s="176">
        <v>4.4999999999999998E-2</v>
      </c>
      <c r="S151" s="174" t="s">
        <v>262</v>
      </c>
      <c r="T151" s="175">
        <v>0</v>
      </c>
      <c r="U151" s="176">
        <v>4.4999999999999998E-2</v>
      </c>
      <c r="V151" s="174" t="s">
        <v>262</v>
      </c>
      <c r="W151" s="175">
        <v>0</v>
      </c>
      <c r="X151" s="177">
        <v>12750</v>
      </c>
      <c r="Y151" s="177">
        <v>25500</v>
      </c>
      <c r="Z151" s="179" t="s">
        <v>273</v>
      </c>
      <c r="AA151" s="180" t="s">
        <v>273</v>
      </c>
      <c r="AB151" s="180" t="s">
        <v>273</v>
      </c>
    </row>
    <row r="152" spans="17:28" ht="15.5" x14ac:dyDescent="0.45">
      <c r="Q152" s="184"/>
      <c r="R152" s="185"/>
      <c r="S152" s="174"/>
      <c r="T152" s="172"/>
      <c r="U152" s="186"/>
      <c r="V152" s="174"/>
      <c r="W152" s="172"/>
      <c r="X152" s="179"/>
      <c r="Y152" s="180"/>
      <c r="Z152" s="179"/>
      <c r="AA152" s="180"/>
      <c r="AB152" s="180"/>
    </row>
    <row r="153" spans="17:28" ht="15.5" x14ac:dyDescent="0.45">
      <c r="Q153" s="172" t="s">
        <v>350</v>
      </c>
      <c r="R153" s="173">
        <v>1.95E-2</v>
      </c>
      <c r="S153" s="174" t="s">
        <v>262</v>
      </c>
      <c r="T153" s="175">
        <v>44725</v>
      </c>
      <c r="U153" s="173">
        <v>1.95E-2</v>
      </c>
      <c r="V153" s="174" t="s">
        <v>262</v>
      </c>
      <c r="W153" s="175">
        <v>74750</v>
      </c>
      <c r="X153" s="177">
        <v>14600</v>
      </c>
      <c r="Y153" s="175">
        <v>29200</v>
      </c>
      <c r="Z153" s="179" t="s">
        <v>273</v>
      </c>
      <c r="AA153" s="180" t="s">
        <v>273</v>
      </c>
      <c r="AB153" s="180" t="s">
        <v>273</v>
      </c>
    </row>
    <row r="154" spans="17:28" ht="15.5" x14ac:dyDescent="0.45">
      <c r="Q154" s="172" t="s">
        <v>351</v>
      </c>
      <c r="R154" s="173">
        <v>2.5000000000000001E-2</v>
      </c>
      <c r="S154" s="174" t="s">
        <v>262</v>
      </c>
      <c r="T154" s="175">
        <v>225975</v>
      </c>
      <c r="U154" s="173">
        <v>2.5000000000000001E-2</v>
      </c>
      <c r="V154" s="174" t="s">
        <v>262</v>
      </c>
      <c r="W154" s="175">
        <v>275100</v>
      </c>
      <c r="X154" s="179"/>
      <c r="Y154" s="180"/>
      <c r="Z154" s="179"/>
      <c r="AA154" s="180"/>
      <c r="AB154" s="180"/>
    </row>
    <row r="155" spans="17:28" ht="15.5" x14ac:dyDescent="0.45">
      <c r="Q155" s="184"/>
      <c r="R155" s="189"/>
      <c r="S155" s="174"/>
      <c r="T155" s="172"/>
      <c r="U155" s="186"/>
      <c r="V155" s="174"/>
      <c r="W155" s="172"/>
      <c r="X155" s="179"/>
      <c r="Y155" s="180"/>
      <c r="Z155" s="179"/>
      <c r="AA155" s="180"/>
      <c r="AB155" s="180"/>
    </row>
    <row r="156" spans="17:28" ht="15.5" x14ac:dyDescent="0.45">
      <c r="Q156" s="172" t="s">
        <v>352</v>
      </c>
      <c r="R156" s="202">
        <v>2.75E-2</v>
      </c>
      <c r="S156" s="174" t="s">
        <v>262</v>
      </c>
      <c r="T156" s="175">
        <v>26050</v>
      </c>
      <c r="U156" s="202">
        <v>2.75E-2</v>
      </c>
      <c r="V156" s="174" t="s">
        <v>262</v>
      </c>
      <c r="W156" s="175">
        <v>26050</v>
      </c>
      <c r="X156" s="179" t="s">
        <v>273</v>
      </c>
      <c r="Y156" s="180" t="s">
        <v>273</v>
      </c>
      <c r="Z156" s="177">
        <v>2400</v>
      </c>
      <c r="AA156" s="177">
        <v>4800</v>
      </c>
      <c r="AB156" s="177">
        <v>2500</v>
      </c>
    </row>
    <row r="157" spans="17:28" ht="15.5" x14ac:dyDescent="0.45">
      <c r="Q157" s="172" t="s">
        <v>353</v>
      </c>
      <c r="R157" s="202">
        <v>3.5000000000000003E-2</v>
      </c>
      <c r="S157" s="174" t="s">
        <v>262</v>
      </c>
      <c r="T157" s="175">
        <v>92150</v>
      </c>
      <c r="U157" s="202">
        <v>3.5000000000000003E-2</v>
      </c>
      <c r="V157" s="174" t="s">
        <v>262</v>
      </c>
      <c r="W157" s="175">
        <v>92150</v>
      </c>
      <c r="X157" s="179"/>
      <c r="Y157" s="180"/>
      <c r="Z157" s="186"/>
      <c r="AA157" s="180"/>
      <c r="AB157" s="180"/>
    </row>
    <row r="158" spans="17:28" ht="15.5" x14ac:dyDescent="0.45">
      <c r="Q158" s="184"/>
      <c r="R158" s="189"/>
      <c r="S158" s="174"/>
      <c r="T158" s="172"/>
      <c r="U158" s="186"/>
      <c r="V158" s="174"/>
      <c r="W158" s="172"/>
      <c r="X158" s="179"/>
      <c r="Y158" s="180"/>
      <c r="Z158" s="179"/>
      <c r="AA158" s="180"/>
      <c r="AB158" s="180"/>
    </row>
    <row r="159" spans="17:28" ht="15.5" x14ac:dyDescent="0.45">
      <c r="Q159" s="172" t="s">
        <v>354</v>
      </c>
      <c r="R159" s="176">
        <v>2.5000000000000001E-3</v>
      </c>
      <c r="S159" s="174" t="s">
        <v>262</v>
      </c>
      <c r="T159" s="175">
        <v>0</v>
      </c>
      <c r="U159" s="176">
        <v>2.5000000000000001E-3</v>
      </c>
      <c r="V159" s="174" t="s">
        <v>262</v>
      </c>
      <c r="W159" s="175">
        <v>0</v>
      </c>
      <c r="X159" s="177">
        <v>6350</v>
      </c>
      <c r="Y159" s="175">
        <v>12700</v>
      </c>
      <c r="Z159" s="177">
        <v>1000</v>
      </c>
      <c r="AA159" s="175">
        <v>2000</v>
      </c>
      <c r="AB159" s="175">
        <v>1000</v>
      </c>
    </row>
    <row r="160" spans="17:28" ht="15.5" x14ac:dyDescent="0.45">
      <c r="Q160" s="172" t="s">
        <v>355</v>
      </c>
      <c r="R160" s="176">
        <v>7.4999999999999997E-3</v>
      </c>
      <c r="S160" s="174" t="s">
        <v>262</v>
      </c>
      <c r="T160" s="175">
        <v>1000</v>
      </c>
      <c r="U160" s="176">
        <v>7.4999999999999997E-3</v>
      </c>
      <c r="V160" s="174" t="s">
        <v>262</v>
      </c>
      <c r="W160" s="175">
        <v>2000</v>
      </c>
      <c r="X160" s="179"/>
      <c r="Y160" s="180"/>
      <c r="Z160" s="179"/>
      <c r="AA160" s="180"/>
      <c r="AB160" s="180"/>
    </row>
    <row r="161" spans="17:28" ht="15.5" x14ac:dyDescent="0.45">
      <c r="Q161" s="184"/>
      <c r="R161" s="176">
        <v>1.7500000000000002E-2</v>
      </c>
      <c r="S161" s="174" t="s">
        <v>262</v>
      </c>
      <c r="T161" s="175">
        <v>2500</v>
      </c>
      <c r="U161" s="176">
        <v>1.7500000000000002E-2</v>
      </c>
      <c r="V161" s="174" t="s">
        <v>262</v>
      </c>
      <c r="W161" s="175">
        <v>5000</v>
      </c>
      <c r="X161" s="179"/>
      <c r="Y161" s="180"/>
      <c r="Z161" s="179"/>
      <c r="AA161" s="180"/>
      <c r="AB161" s="180"/>
    </row>
    <row r="162" spans="17:28" ht="15.5" x14ac:dyDescent="0.45">
      <c r="Q162" s="184"/>
      <c r="R162" s="176">
        <v>2.75E-2</v>
      </c>
      <c r="S162" s="174" t="s">
        <v>262</v>
      </c>
      <c r="T162" s="175">
        <v>3750</v>
      </c>
      <c r="U162" s="176">
        <v>2.75E-2</v>
      </c>
      <c r="V162" s="174" t="s">
        <v>262</v>
      </c>
      <c r="W162" s="175">
        <v>7500</v>
      </c>
      <c r="X162" s="179"/>
      <c r="Y162" s="180"/>
      <c r="Z162" s="179"/>
      <c r="AA162" s="180"/>
      <c r="AB162" s="180"/>
    </row>
    <row r="163" spans="17:28" ht="15.5" x14ac:dyDescent="0.45">
      <c r="Q163" s="184"/>
      <c r="R163" s="176">
        <v>3.7499999999999999E-2</v>
      </c>
      <c r="S163" s="174" t="s">
        <v>262</v>
      </c>
      <c r="T163" s="175">
        <v>4900</v>
      </c>
      <c r="U163" s="176">
        <v>3.7499999999999999E-2</v>
      </c>
      <c r="V163" s="174" t="s">
        <v>262</v>
      </c>
      <c r="W163" s="175">
        <v>9800</v>
      </c>
      <c r="X163" s="179"/>
      <c r="Y163" s="180"/>
      <c r="Z163" s="179"/>
      <c r="AA163" s="180"/>
      <c r="AB163" s="180"/>
    </row>
    <row r="164" spans="17:28" ht="15.5" x14ac:dyDescent="0.45">
      <c r="Q164" s="206"/>
      <c r="R164" s="176">
        <v>4.7500000000000001E-2</v>
      </c>
      <c r="S164" s="174" t="s">
        <v>262</v>
      </c>
      <c r="T164" s="175">
        <v>7200</v>
      </c>
      <c r="U164" s="176">
        <v>4.7500000000000001E-2</v>
      </c>
      <c r="V164" s="174" t="s">
        <v>262</v>
      </c>
      <c r="W164" s="175">
        <v>12200</v>
      </c>
      <c r="X164" s="179"/>
      <c r="Y164" s="180"/>
      <c r="Z164" s="179"/>
      <c r="AA164" s="180"/>
      <c r="AB164" s="180"/>
    </row>
    <row r="165" spans="17:28" ht="15.5" x14ac:dyDescent="0.45">
      <c r="Q165" s="184"/>
      <c r="R165" s="185"/>
      <c r="S165" s="174"/>
      <c r="T165" s="172"/>
      <c r="U165" s="186"/>
      <c r="V165" s="174"/>
      <c r="W165" s="172"/>
      <c r="X165" s="179"/>
      <c r="Y165" s="180"/>
      <c r="Z165" s="179"/>
      <c r="AA165" s="180"/>
      <c r="AB165" s="180"/>
    </row>
    <row r="166" spans="17:28" ht="15.5" x14ac:dyDescent="0.45">
      <c r="Q166" s="172" t="s">
        <v>356</v>
      </c>
      <c r="R166" s="173">
        <v>4.7500000000000001E-2</v>
      </c>
      <c r="S166" s="174" t="s">
        <v>262</v>
      </c>
      <c r="T166" s="175">
        <v>0</v>
      </c>
      <c r="U166" s="176">
        <v>4.7500000000000001E-2</v>
      </c>
      <c r="V166" s="174" t="s">
        <v>262</v>
      </c>
      <c r="W166" s="175">
        <v>0</v>
      </c>
      <c r="X166" s="177">
        <v>2745</v>
      </c>
      <c r="Y166" s="175">
        <v>5495</v>
      </c>
      <c r="Z166" s="180" t="s">
        <v>357</v>
      </c>
      <c r="AA166" s="180" t="s">
        <v>358</v>
      </c>
      <c r="AB166" s="180" t="s">
        <v>357</v>
      </c>
    </row>
    <row r="167" spans="17:28" ht="15.5" x14ac:dyDescent="0.45">
      <c r="Q167" s="172" t="s">
        <v>359</v>
      </c>
      <c r="R167" s="173">
        <v>6.7500000000000004E-2</v>
      </c>
      <c r="S167" s="174" t="s">
        <v>262</v>
      </c>
      <c r="T167" s="175">
        <v>4300</v>
      </c>
      <c r="U167" s="176">
        <v>6.7500000000000004E-2</v>
      </c>
      <c r="V167" s="174" t="s">
        <v>262</v>
      </c>
      <c r="W167" s="175">
        <v>8600</v>
      </c>
      <c r="X167" s="179"/>
      <c r="Y167" s="180"/>
      <c r="Z167" s="172"/>
      <c r="AA167" s="172"/>
      <c r="AB167" s="172"/>
    </row>
    <row r="168" spans="17:28" ht="15.5" x14ac:dyDescent="0.45">
      <c r="Q168" s="197"/>
      <c r="R168" s="173">
        <v>8.7499999999999994E-2</v>
      </c>
      <c r="S168" s="174" t="s">
        <v>262</v>
      </c>
      <c r="T168" s="175">
        <v>10750</v>
      </c>
      <c r="U168" s="176">
        <v>8.7499999999999994E-2</v>
      </c>
      <c r="V168" s="174" t="s">
        <v>262</v>
      </c>
      <c r="W168" s="175">
        <v>21500</v>
      </c>
      <c r="X168" s="179"/>
      <c r="Y168" s="180"/>
      <c r="Z168" s="179"/>
      <c r="AA168" s="180"/>
      <c r="AB168" s="180"/>
    </row>
    <row r="169" spans="17:28" ht="15.5" x14ac:dyDescent="0.45">
      <c r="Q169" s="184"/>
      <c r="R169" s="173">
        <v>9.9000000000000005E-2</v>
      </c>
      <c r="S169" s="174" t="s">
        <v>262</v>
      </c>
      <c r="T169" s="175">
        <v>125000</v>
      </c>
      <c r="U169" s="176">
        <v>9.9000000000000005E-2</v>
      </c>
      <c r="V169" s="174" t="s">
        <v>262</v>
      </c>
      <c r="W169" s="175">
        <v>250000</v>
      </c>
      <c r="X169" s="179"/>
      <c r="Y169" s="180"/>
      <c r="Z169" s="179"/>
      <c r="AA169" s="180"/>
      <c r="AB169" s="180"/>
    </row>
    <row r="170" spans="17:28" ht="15.5" x14ac:dyDescent="0.45">
      <c r="Q170" s="184"/>
      <c r="R170" s="185"/>
      <c r="S170" s="174"/>
      <c r="T170" s="172"/>
      <c r="U170" s="186"/>
      <c r="V170" s="174"/>
      <c r="W170" s="172"/>
      <c r="X170" s="179"/>
      <c r="Y170" s="180"/>
      <c r="Z170" s="179"/>
      <c r="AA170" s="180"/>
      <c r="AB170" s="180"/>
    </row>
    <row r="171" spans="17:28" ht="15.5" x14ac:dyDescent="0.45">
      <c r="Q171" s="172" t="s">
        <v>360</v>
      </c>
      <c r="R171" s="176">
        <v>3.0700000000000002E-2</v>
      </c>
      <c r="S171" s="172" t="s">
        <v>262</v>
      </c>
      <c r="T171" s="175">
        <v>0</v>
      </c>
      <c r="U171" s="176">
        <v>3.0700000000000002E-2</v>
      </c>
      <c r="V171" s="172" t="s">
        <v>262</v>
      </c>
      <c r="W171" s="175">
        <v>0</v>
      </c>
      <c r="X171" s="179" t="s">
        <v>273</v>
      </c>
      <c r="Y171" s="180" t="s">
        <v>273</v>
      </c>
      <c r="Z171" s="179" t="s">
        <v>273</v>
      </c>
      <c r="AA171" s="180" t="s">
        <v>273</v>
      </c>
      <c r="AB171" s="180" t="s">
        <v>273</v>
      </c>
    </row>
    <row r="172" spans="17:28" ht="15.5" x14ac:dyDescent="0.45">
      <c r="Q172" s="184"/>
      <c r="R172" s="185"/>
      <c r="S172" s="174"/>
      <c r="T172" s="172"/>
      <c r="U172" s="186"/>
      <c r="V172" s="174"/>
      <c r="W172" s="172"/>
      <c r="X172" s="179"/>
      <c r="Y172" s="180"/>
      <c r="Z172" s="179"/>
      <c r="AA172" s="180"/>
      <c r="AB172" s="180"/>
    </row>
    <row r="173" spans="17:28" ht="15.5" x14ac:dyDescent="0.45">
      <c r="Q173" s="172" t="s">
        <v>361</v>
      </c>
      <c r="R173" s="173">
        <v>3.7499999999999999E-2</v>
      </c>
      <c r="S173" s="174" t="s">
        <v>262</v>
      </c>
      <c r="T173" s="175">
        <v>0</v>
      </c>
      <c r="U173" s="176">
        <v>3.7499999999999999E-2</v>
      </c>
      <c r="V173" s="174" t="s">
        <v>262</v>
      </c>
      <c r="W173" s="175">
        <v>0</v>
      </c>
      <c r="X173" s="177">
        <v>10550</v>
      </c>
      <c r="Y173" s="175">
        <v>21150</v>
      </c>
      <c r="Z173" s="177">
        <v>4950</v>
      </c>
      <c r="AA173" s="175">
        <v>9900</v>
      </c>
      <c r="AB173" s="177">
        <v>4950</v>
      </c>
    </row>
    <row r="174" spans="17:28" ht="15.5" x14ac:dyDescent="0.45">
      <c r="Q174" s="172" t="s">
        <v>362</v>
      </c>
      <c r="R174" s="173">
        <v>4.7500000000000001E-2</v>
      </c>
      <c r="S174" s="174" t="s">
        <v>262</v>
      </c>
      <c r="T174" s="175">
        <v>77450</v>
      </c>
      <c r="U174" s="176">
        <v>4.7500000000000001E-2</v>
      </c>
      <c r="V174" s="174" t="s">
        <v>262</v>
      </c>
      <c r="W174" s="175">
        <v>77450</v>
      </c>
      <c r="X174" s="179"/>
      <c r="Y174" s="180"/>
      <c r="Z174" s="179"/>
      <c r="AA174" s="180"/>
      <c r="AB174" s="180"/>
    </row>
    <row r="175" spans="17:28" ht="15.5" x14ac:dyDescent="0.45">
      <c r="Q175" s="184"/>
      <c r="R175" s="173">
        <v>5.9900000000000002E-2</v>
      </c>
      <c r="S175" s="174" t="s">
        <v>262</v>
      </c>
      <c r="T175" s="175">
        <v>176050</v>
      </c>
      <c r="U175" s="176">
        <v>5.9900000000000002E-2</v>
      </c>
      <c r="V175" s="174" t="s">
        <v>262</v>
      </c>
      <c r="W175" s="175">
        <v>176050</v>
      </c>
      <c r="X175" s="179"/>
      <c r="Y175" s="180"/>
      <c r="Z175" s="179"/>
      <c r="AA175" s="180"/>
      <c r="AB175" s="180"/>
    </row>
    <row r="176" spans="17:28" ht="15.5" x14ac:dyDescent="0.45">
      <c r="Q176" s="184"/>
      <c r="R176" s="185"/>
      <c r="S176" s="174"/>
      <c r="T176" s="172"/>
      <c r="U176" s="186"/>
      <c r="V176" s="174"/>
      <c r="W176" s="172"/>
      <c r="X176" s="179"/>
      <c r="Y176" s="180"/>
      <c r="Z176" s="179"/>
      <c r="AA176" s="180"/>
      <c r="AB176" s="180"/>
    </row>
    <row r="177" spans="17:28" ht="15.5" x14ac:dyDescent="0.45">
      <c r="Q177" s="172" t="s">
        <v>363</v>
      </c>
      <c r="R177" s="176">
        <v>0</v>
      </c>
      <c r="S177" s="172" t="s">
        <v>262</v>
      </c>
      <c r="T177" s="175">
        <v>0</v>
      </c>
      <c r="U177" s="176">
        <v>0</v>
      </c>
      <c r="V177" s="172" t="s">
        <v>262</v>
      </c>
      <c r="W177" s="175">
        <v>0</v>
      </c>
      <c r="X177" s="177">
        <v>14600</v>
      </c>
      <c r="Y177" s="175">
        <v>29200</v>
      </c>
      <c r="Z177" s="177" t="s">
        <v>273</v>
      </c>
      <c r="AA177" s="175" t="s">
        <v>273</v>
      </c>
      <c r="AB177" s="175" t="s">
        <v>364</v>
      </c>
    </row>
    <row r="178" spans="17:28" ht="15.5" x14ac:dyDescent="0.45">
      <c r="Q178" s="172" t="s">
        <v>365</v>
      </c>
      <c r="R178" s="176">
        <v>0.03</v>
      </c>
      <c r="S178" s="172" t="s">
        <v>262</v>
      </c>
      <c r="T178" s="175">
        <v>3460</v>
      </c>
      <c r="U178" s="176">
        <v>0.03</v>
      </c>
      <c r="V178" s="172" t="s">
        <v>262</v>
      </c>
      <c r="W178" s="175">
        <v>3460</v>
      </c>
      <c r="X178" s="179"/>
      <c r="Y178" s="180"/>
      <c r="Z178" s="179"/>
      <c r="AA178" s="180"/>
      <c r="AB178" s="180"/>
    </row>
    <row r="179" spans="17:28" ht="15.5" x14ac:dyDescent="0.45">
      <c r="Q179" s="197"/>
      <c r="R179" s="176">
        <v>6.4000000000000001E-2</v>
      </c>
      <c r="S179" s="172" t="s">
        <v>262</v>
      </c>
      <c r="T179" s="175">
        <v>17330</v>
      </c>
      <c r="U179" s="176">
        <v>6.4000000000000001E-2</v>
      </c>
      <c r="V179" s="172" t="s">
        <v>262</v>
      </c>
      <c r="W179" s="175">
        <v>17330</v>
      </c>
      <c r="X179" s="179"/>
      <c r="Y179" s="180"/>
      <c r="Z179" s="179"/>
      <c r="AA179" s="180"/>
      <c r="AB179" s="180"/>
    </row>
    <row r="180" spans="17:28" ht="15.5" x14ac:dyDescent="0.45">
      <c r="Q180" s="184"/>
      <c r="R180" s="176"/>
      <c r="S180" s="172"/>
      <c r="T180" s="175"/>
      <c r="U180" s="176"/>
      <c r="V180" s="172"/>
      <c r="W180" s="175"/>
      <c r="X180" s="179"/>
      <c r="Y180" s="180"/>
      <c r="Z180" s="179"/>
      <c r="AA180" s="180"/>
      <c r="AB180" s="180"/>
    </row>
    <row r="181" spans="17:28" ht="15.5" x14ac:dyDescent="0.45">
      <c r="Q181" s="172" t="s">
        <v>366</v>
      </c>
      <c r="R181" s="187" t="s">
        <v>272</v>
      </c>
      <c r="S181" s="188"/>
      <c r="T181" s="188"/>
      <c r="U181" s="187" t="s">
        <v>272</v>
      </c>
      <c r="V181" s="188"/>
      <c r="W181" s="188"/>
      <c r="X181" s="179" t="s">
        <v>273</v>
      </c>
      <c r="Y181" s="180" t="s">
        <v>273</v>
      </c>
      <c r="Z181" s="179" t="s">
        <v>273</v>
      </c>
      <c r="AA181" s="180" t="s">
        <v>273</v>
      </c>
      <c r="AB181" s="180" t="s">
        <v>273</v>
      </c>
    </row>
    <row r="182" spans="17:28" ht="15.5" x14ac:dyDescent="0.45">
      <c r="Q182" s="184"/>
      <c r="R182" s="185"/>
      <c r="S182" s="174"/>
      <c r="T182" s="172"/>
      <c r="U182" s="186"/>
      <c r="V182" s="174"/>
      <c r="W182" s="172"/>
      <c r="X182" s="179"/>
      <c r="Y182" s="180"/>
      <c r="Z182" s="179"/>
      <c r="AA182" s="180"/>
      <c r="AB182" s="180"/>
    </row>
    <row r="183" spans="17:28" ht="15.5" x14ac:dyDescent="0.45">
      <c r="Q183" s="172" t="s">
        <v>367</v>
      </c>
      <c r="R183" s="207" t="s">
        <v>272</v>
      </c>
      <c r="S183" s="208"/>
      <c r="T183" s="209"/>
      <c r="U183" s="207" t="s">
        <v>272</v>
      </c>
      <c r="V183" s="208"/>
      <c r="W183" s="209"/>
      <c r="X183" s="179" t="s">
        <v>273</v>
      </c>
      <c r="Y183" s="180" t="s">
        <v>273</v>
      </c>
      <c r="Z183" s="177" t="s">
        <v>273</v>
      </c>
      <c r="AA183" s="175" t="s">
        <v>273</v>
      </c>
      <c r="AB183" s="180" t="s">
        <v>273</v>
      </c>
    </row>
    <row r="184" spans="17:28" ht="15.5" x14ac:dyDescent="0.45">
      <c r="Q184" s="184"/>
      <c r="R184" s="185"/>
      <c r="S184" s="174"/>
      <c r="T184" s="172"/>
      <c r="U184" s="186"/>
      <c r="V184" s="174"/>
      <c r="W184" s="172"/>
      <c r="X184" s="179"/>
      <c r="Y184" s="180"/>
      <c r="Z184" s="179"/>
      <c r="AA184" s="180"/>
      <c r="AB184" s="180"/>
    </row>
    <row r="185" spans="17:28" ht="15.5" x14ac:dyDescent="0.45">
      <c r="Q185" s="172" t="s">
        <v>368</v>
      </c>
      <c r="R185" s="187" t="s">
        <v>272</v>
      </c>
      <c r="S185" s="188"/>
      <c r="T185" s="188"/>
      <c r="U185" s="187" t="s">
        <v>272</v>
      </c>
      <c r="V185" s="188"/>
      <c r="W185" s="188"/>
      <c r="X185" s="179" t="s">
        <v>273</v>
      </c>
      <c r="Y185" s="180" t="s">
        <v>273</v>
      </c>
      <c r="Z185" s="179" t="s">
        <v>273</v>
      </c>
      <c r="AA185" s="180" t="s">
        <v>273</v>
      </c>
      <c r="AB185" s="180" t="s">
        <v>273</v>
      </c>
    </row>
    <row r="186" spans="17:28" ht="15.5" x14ac:dyDescent="0.45">
      <c r="Q186" s="184"/>
      <c r="R186" s="185"/>
      <c r="S186" s="174"/>
      <c r="T186" s="172"/>
      <c r="U186" s="186"/>
      <c r="V186" s="174"/>
      <c r="W186" s="172"/>
      <c r="X186" s="179"/>
      <c r="Y186" s="180"/>
      <c r="Z186" s="179"/>
      <c r="AA186" s="180"/>
      <c r="AB186" s="180"/>
    </row>
    <row r="187" spans="17:28" ht="15.5" x14ac:dyDescent="0.45">
      <c r="Q187" s="172" t="s">
        <v>369</v>
      </c>
      <c r="R187" s="176">
        <v>4.65E-2</v>
      </c>
      <c r="S187" s="172" t="s">
        <v>262</v>
      </c>
      <c r="T187" s="175">
        <v>0</v>
      </c>
      <c r="U187" s="176">
        <v>4.65E-2</v>
      </c>
      <c r="V187" s="172" t="s">
        <v>262</v>
      </c>
      <c r="W187" s="175">
        <v>0</v>
      </c>
      <c r="X187" s="180" t="s">
        <v>370</v>
      </c>
      <c r="Y187" s="180" t="s">
        <v>371</v>
      </c>
      <c r="Z187" s="179" t="s">
        <v>273</v>
      </c>
      <c r="AA187" s="180" t="s">
        <v>273</v>
      </c>
      <c r="AB187" s="181">
        <v>1941</v>
      </c>
    </row>
    <row r="188" spans="17:28" ht="15.5" x14ac:dyDescent="0.45">
      <c r="Q188" s="197"/>
      <c r="R188" s="185"/>
      <c r="S188" s="174"/>
      <c r="T188" s="172"/>
      <c r="U188" s="186"/>
      <c r="V188" s="174"/>
      <c r="W188" s="172"/>
      <c r="X188" s="178"/>
      <c r="Y188" s="181"/>
      <c r="Z188" s="179"/>
      <c r="AA188" s="180"/>
      <c r="AB188" s="180"/>
    </row>
    <row r="189" spans="17:28" ht="15.5" x14ac:dyDescent="0.45">
      <c r="Q189" s="172" t="s">
        <v>372</v>
      </c>
      <c r="R189" s="173">
        <v>3.3500000000000002E-2</v>
      </c>
      <c r="S189" s="174" t="s">
        <v>262</v>
      </c>
      <c r="T189" s="175">
        <v>0</v>
      </c>
      <c r="U189" s="176">
        <v>3.3500000000000002E-2</v>
      </c>
      <c r="V189" s="174" t="s">
        <v>262</v>
      </c>
      <c r="W189" s="175">
        <v>0</v>
      </c>
      <c r="X189" s="177">
        <v>7000</v>
      </c>
      <c r="Y189" s="175">
        <v>14050</v>
      </c>
      <c r="Z189" s="177">
        <v>4850</v>
      </c>
      <c r="AA189" s="175">
        <v>9700</v>
      </c>
      <c r="AB189" s="177">
        <v>4850</v>
      </c>
    </row>
    <row r="190" spans="17:28" ht="15.5" x14ac:dyDescent="0.45">
      <c r="Q190" s="172" t="s">
        <v>373</v>
      </c>
      <c r="R190" s="173">
        <v>6.6000000000000003E-2</v>
      </c>
      <c r="S190" s="174" t="s">
        <v>262</v>
      </c>
      <c r="T190" s="175">
        <v>45400</v>
      </c>
      <c r="U190" s="176">
        <v>6.6000000000000003E-2</v>
      </c>
      <c r="V190" s="174" t="s">
        <v>262</v>
      </c>
      <c r="W190" s="175">
        <v>75850</v>
      </c>
      <c r="X190" s="210"/>
      <c r="Y190" s="191"/>
      <c r="Z190" s="179"/>
      <c r="AA190" s="180"/>
      <c r="AB190" s="180"/>
    </row>
    <row r="191" spans="17:28" ht="15.5" x14ac:dyDescent="0.45">
      <c r="Q191" s="211"/>
      <c r="R191" s="173">
        <v>7.5999999999999998E-2</v>
      </c>
      <c r="S191" s="174" t="s">
        <v>262</v>
      </c>
      <c r="T191" s="175">
        <v>110050</v>
      </c>
      <c r="U191" s="176">
        <v>7.5999999999999998E-2</v>
      </c>
      <c r="V191" s="174" t="s">
        <v>262</v>
      </c>
      <c r="W191" s="175">
        <v>183400</v>
      </c>
      <c r="X191" s="179"/>
      <c r="Y191" s="180"/>
      <c r="Z191" s="179"/>
      <c r="AA191" s="180"/>
      <c r="AB191" s="180"/>
    </row>
    <row r="192" spans="17:28" ht="15.5" x14ac:dyDescent="0.45">
      <c r="Q192" s="184"/>
      <c r="R192" s="173">
        <v>8.7499999999999994E-2</v>
      </c>
      <c r="S192" s="174" t="s">
        <v>262</v>
      </c>
      <c r="T192" s="175">
        <v>229550</v>
      </c>
      <c r="U192" s="176">
        <v>8.7499999999999994E-2</v>
      </c>
      <c r="V192" s="174" t="s">
        <v>262</v>
      </c>
      <c r="W192" s="175">
        <v>279450</v>
      </c>
      <c r="X192" s="179"/>
      <c r="Y192" s="180"/>
      <c r="Z192" s="179"/>
      <c r="AA192" s="180"/>
      <c r="AB192" s="180"/>
    </row>
    <row r="193" spans="17:28" ht="15.5" x14ac:dyDescent="0.45">
      <c r="Q193" s="184"/>
      <c r="R193" s="185"/>
      <c r="S193" s="174"/>
      <c r="T193" s="172"/>
      <c r="U193" s="186"/>
      <c r="V193" s="174"/>
      <c r="W193" s="172"/>
      <c r="X193" s="179"/>
      <c r="Y193" s="180"/>
      <c r="Z193" s="179"/>
      <c r="AA193" s="180"/>
      <c r="AB193" s="180"/>
    </row>
    <row r="194" spans="17:28" ht="15.5" x14ac:dyDescent="0.45">
      <c r="Q194" s="172" t="s">
        <v>374</v>
      </c>
      <c r="R194" s="176">
        <v>0.02</v>
      </c>
      <c r="S194" s="172" t="s">
        <v>262</v>
      </c>
      <c r="T194" s="175">
        <v>0</v>
      </c>
      <c r="U194" s="176">
        <v>0.02</v>
      </c>
      <c r="V194" s="172" t="s">
        <v>262</v>
      </c>
      <c r="W194" s="175">
        <v>0</v>
      </c>
      <c r="X194" s="177">
        <v>8000</v>
      </c>
      <c r="Y194" s="175">
        <v>16000</v>
      </c>
      <c r="Z194" s="177">
        <v>930</v>
      </c>
      <c r="AA194" s="175">
        <v>1860</v>
      </c>
      <c r="AB194" s="175">
        <v>930</v>
      </c>
    </row>
    <row r="195" spans="17:28" ht="15.5" x14ac:dyDescent="0.45">
      <c r="Q195" s="172" t="s">
        <v>375</v>
      </c>
      <c r="R195" s="173">
        <v>0.03</v>
      </c>
      <c r="S195" s="174" t="s">
        <v>262</v>
      </c>
      <c r="T195" s="175">
        <v>3000</v>
      </c>
      <c r="U195" s="176">
        <v>0.03</v>
      </c>
      <c r="V195" s="174" t="s">
        <v>262</v>
      </c>
      <c r="W195" s="175">
        <v>3000</v>
      </c>
      <c r="X195" s="179"/>
      <c r="Y195" s="180"/>
      <c r="Z195" s="179"/>
      <c r="AA195" s="180"/>
      <c r="AB195" s="180"/>
    </row>
    <row r="196" spans="17:28" ht="15.5" x14ac:dyDescent="0.45">
      <c r="Q196" s="184"/>
      <c r="R196" s="173">
        <v>0.05</v>
      </c>
      <c r="S196" s="174" t="s">
        <v>262</v>
      </c>
      <c r="T196" s="175">
        <v>5000</v>
      </c>
      <c r="U196" s="176">
        <v>0.05</v>
      </c>
      <c r="V196" s="174" t="s">
        <v>262</v>
      </c>
      <c r="W196" s="175">
        <v>5000</v>
      </c>
      <c r="X196" s="179"/>
      <c r="Y196" s="180"/>
      <c r="Z196" s="179"/>
      <c r="AA196" s="180"/>
      <c r="AB196" s="180"/>
    </row>
    <row r="197" spans="17:28" ht="15.5" x14ac:dyDescent="0.45">
      <c r="Q197" s="184"/>
      <c r="R197" s="173">
        <v>5.7500000000000002E-2</v>
      </c>
      <c r="S197" s="174" t="s">
        <v>262</v>
      </c>
      <c r="T197" s="175">
        <v>17000</v>
      </c>
      <c r="U197" s="176">
        <v>5.7500000000000002E-2</v>
      </c>
      <c r="V197" s="174" t="s">
        <v>262</v>
      </c>
      <c r="W197" s="175">
        <v>17000</v>
      </c>
      <c r="X197" s="179"/>
      <c r="Y197" s="180"/>
      <c r="Z197" s="179"/>
      <c r="AA197" s="180"/>
      <c r="AB197" s="180"/>
    </row>
    <row r="198" spans="17:28" ht="15.5" x14ac:dyDescent="0.45">
      <c r="Q198" s="184"/>
      <c r="R198" s="185"/>
      <c r="S198" s="174"/>
      <c r="T198" s="172"/>
      <c r="U198" s="186"/>
      <c r="V198" s="174"/>
      <c r="W198" s="172"/>
      <c r="X198" s="179"/>
      <c r="Y198" s="180"/>
      <c r="Z198" s="179"/>
      <c r="AA198" s="180"/>
      <c r="AB198" s="180"/>
    </row>
    <row r="199" spans="17:28" ht="15.5" x14ac:dyDescent="0.45">
      <c r="Q199" s="172" t="s">
        <v>376</v>
      </c>
      <c r="R199" s="187" t="s">
        <v>377</v>
      </c>
      <c r="S199" s="188"/>
      <c r="T199" s="188"/>
      <c r="U199" s="187" t="s">
        <v>377</v>
      </c>
      <c r="V199" s="188"/>
      <c r="W199" s="188"/>
      <c r="X199" s="177">
        <v>250000</v>
      </c>
      <c r="Y199" s="181">
        <v>250000</v>
      </c>
      <c r="Z199" s="179" t="s">
        <v>273</v>
      </c>
      <c r="AA199" s="180" t="s">
        <v>273</v>
      </c>
      <c r="AB199" s="180" t="s">
        <v>273</v>
      </c>
    </row>
    <row r="200" spans="17:28" ht="15.5" x14ac:dyDescent="0.45">
      <c r="Q200" s="184"/>
      <c r="R200" s="185"/>
      <c r="S200" s="174"/>
      <c r="T200" s="172"/>
      <c r="U200" s="186"/>
      <c r="V200" s="174"/>
      <c r="W200" s="172"/>
      <c r="X200" s="179"/>
      <c r="Y200" s="180"/>
      <c r="Z200" s="179"/>
      <c r="AA200" s="180"/>
      <c r="AB200" s="180"/>
    </row>
    <row r="201" spans="17:28" ht="15.5" x14ac:dyDescent="0.45">
      <c r="Q201" s="172" t="s">
        <v>378</v>
      </c>
      <c r="R201" s="176">
        <v>2.3599999999999999E-2</v>
      </c>
      <c r="S201" s="172" t="s">
        <v>262</v>
      </c>
      <c r="T201" s="175">
        <v>0</v>
      </c>
      <c r="U201" s="176">
        <v>2.3599999999999999E-2</v>
      </c>
      <c r="V201" s="172" t="s">
        <v>262</v>
      </c>
      <c r="W201" s="175">
        <v>0</v>
      </c>
      <c r="X201" s="179" t="s">
        <v>273</v>
      </c>
      <c r="Y201" s="180" t="s">
        <v>273</v>
      </c>
      <c r="Z201" s="177">
        <v>2000</v>
      </c>
      <c r="AA201" s="175">
        <v>4000</v>
      </c>
      <c r="AB201" s="175">
        <v>2000</v>
      </c>
    </row>
    <row r="202" spans="17:28" ht="15.5" x14ac:dyDescent="0.45">
      <c r="Q202" s="172" t="s">
        <v>316</v>
      </c>
      <c r="R202" s="173">
        <v>3.15E-2</v>
      </c>
      <c r="S202" s="174" t="s">
        <v>262</v>
      </c>
      <c r="T202" s="175">
        <v>10000</v>
      </c>
      <c r="U202" s="173">
        <v>3.15E-2</v>
      </c>
      <c r="V202" s="174" t="s">
        <v>262</v>
      </c>
      <c r="W202" s="175">
        <v>10000</v>
      </c>
      <c r="X202" s="179"/>
      <c r="Y202" s="180"/>
      <c r="Z202" s="179"/>
      <c r="AA202" s="180"/>
      <c r="AB202" s="180"/>
    </row>
    <row r="203" spans="17:28" ht="15.5" x14ac:dyDescent="0.45">
      <c r="Q203" s="184"/>
      <c r="R203" s="173">
        <v>3.5400000000000001E-2</v>
      </c>
      <c r="S203" s="174" t="s">
        <v>262</v>
      </c>
      <c r="T203" s="175">
        <v>25000</v>
      </c>
      <c r="U203" s="173">
        <v>3.5400000000000001E-2</v>
      </c>
      <c r="V203" s="174" t="s">
        <v>262</v>
      </c>
      <c r="W203" s="175">
        <v>25000</v>
      </c>
      <c r="X203" s="179"/>
      <c r="Y203" s="180"/>
      <c r="Z203" s="179"/>
      <c r="AA203" s="180"/>
      <c r="AB203" s="180"/>
    </row>
    <row r="204" spans="17:28" ht="15.5" x14ac:dyDescent="0.45">
      <c r="Q204" s="184"/>
      <c r="R204" s="173">
        <v>4.7199999999999999E-2</v>
      </c>
      <c r="S204" s="174" t="s">
        <v>262</v>
      </c>
      <c r="T204" s="175">
        <v>40000</v>
      </c>
      <c r="U204" s="173">
        <v>4.7199999999999999E-2</v>
      </c>
      <c r="V204" s="174" t="s">
        <v>262</v>
      </c>
      <c r="W204" s="175">
        <v>40000</v>
      </c>
      <c r="X204" s="179"/>
      <c r="Y204" s="180"/>
      <c r="Z204" s="179"/>
      <c r="AA204" s="180"/>
      <c r="AB204" s="180"/>
    </row>
    <row r="205" spans="17:28" ht="15.5" x14ac:dyDescent="0.45">
      <c r="Q205" s="184"/>
      <c r="R205" s="173">
        <v>5.1200000000000002E-2</v>
      </c>
      <c r="S205" s="174" t="s">
        <v>262</v>
      </c>
      <c r="T205" s="175">
        <v>60000</v>
      </c>
      <c r="U205" s="173">
        <v>5.1200000000000002E-2</v>
      </c>
      <c r="V205" s="174" t="s">
        <v>262</v>
      </c>
      <c r="W205" s="175">
        <v>60000</v>
      </c>
      <c r="X205" s="179"/>
      <c r="Y205" s="180"/>
      <c r="Z205" s="179"/>
      <c r="AA205" s="180"/>
      <c r="AB205" s="180"/>
    </row>
    <row r="206" spans="17:28" ht="15.5" x14ac:dyDescent="0.45">
      <c r="Q206" s="184"/>
      <c r="R206" s="185"/>
      <c r="S206" s="174"/>
      <c r="T206" s="172"/>
      <c r="U206" s="186"/>
      <c r="V206" s="174"/>
      <c r="W206" s="172"/>
      <c r="X206" s="179"/>
      <c r="Y206" s="180"/>
      <c r="Z206" s="179"/>
      <c r="AA206" s="180"/>
      <c r="AB206" s="180"/>
    </row>
    <row r="207" spans="17:28" ht="15.5" x14ac:dyDescent="0.45">
      <c r="Q207" s="172" t="s">
        <v>379</v>
      </c>
      <c r="R207" s="176">
        <v>3.5000000000000003E-2</v>
      </c>
      <c r="S207" s="172" t="s">
        <v>262</v>
      </c>
      <c r="T207" s="175">
        <v>0</v>
      </c>
      <c r="U207" s="176">
        <v>3.5000000000000003E-2</v>
      </c>
      <c r="V207" s="172" t="s">
        <v>262</v>
      </c>
      <c r="W207" s="175">
        <v>0</v>
      </c>
      <c r="X207" s="177">
        <v>13230</v>
      </c>
      <c r="Y207" s="175">
        <v>24490</v>
      </c>
      <c r="Z207" s="177">
        <v>700</v>
      </c>
      <c r="AA207" s="175">
        <v>1400</v>
      </c>
      <c r="AB207" s="175">
        <v>700</v>
      </c>
    </row>
    <row r="208" spans="17:28" ht="15.5" x14ac:dyDescent="0.45">
      <c r="Q208" s="172" t="s">
        <v>380</v>
      </c>
      <c r="R208" s="173">
        <v>4.3999999999999997E-2</v>
      </c>
      <c r="S208" s="174" t="s">
        <v>262</v>
      </c>
      <c r="T208" s="175">
        <v>14320</v>
      </c>
      <c r="U208" s="173">
        <v>4.3999999999999997E-2</v>
      </c>
      <c r="V208" s="174" t="s">
        <v>262</v>
      </c>
      <c r="W208" s="175">
        <v>19090</v>
      </c>
      <c r="X208" s="179"/>
      <c r="Y208" s="180"/>
      <c r="Z208" s="179"/>
      <c r="AA208" s="180"/>
      <c r="AB208" s="180"/>
    </row>
    <row r="209" spans="17:28" ht="15.5" x14ac:dyDescent="0.45">
      <c r="Q209" s="197"/>
      <c r="R209" s="176">
        <v>5.2999999999999999E-2</v>
      </c>
      <c r="S209" s="174" t="s">
        <v>262</v>
      </c>
      <c r="T209" s="175">
        <v>28640</v>
      </c>
      <c r="U209" s="176">
        <v>5.2999999999999999E-2</v>
      </c>
      <c r="V209" s="174" t="s">
        <v>262</v>
      </c>
      <c r="W209" s="175">
        <v>38190</v>
      </c>
      <c r="X209" s="179"/>
      <c r="Y209" s="180"/>
      <c r="Z209" s="179"/>
      <c r="AA209" s="180"/>
      <c r="AB209" s="180"/>
    </row>
    <row r="210" spans="17:28" ht="15.5" x14ac:dyDescent="0.45">
      <c r="Q210" s="184"/>
      <c r="R210" s="173">
        <v>7.6499999999999999E-2</v>
      </c>
      <c r="S210" s="174" t="s">
        <v>262</v>
      </c>
      <c r="T210" s="175">
        <v>315310</v>
      </c>
      <c r="U210" s="176">
        <v>7.6499999999999999E-2</v>
      </c>
      <c r="V210" s="174" t="s">
        <v>262</v>
      </c>
      <c r="W210" s="175">
        <v>420420</v>
      </c>
      <c r="X210" s="179"/>
      <c r="Y210" s="180"/>
      <c r="Z210" s="179"/>
      <c r="AA210" s="180"/>
      <c r="AB210" s="180"/>
    </row>
    <row r="211" spans="17:28" ht="15.5" x14ac:dyDescent="0.45">
      <c r="Q211" s="184"/>
      <c r="R211" s="185"/>
      <c r="S211" s="174"/>
      <c r="T211" s="172"/>
      <c r="U211" s="186"/>
      <c r="V211" s="174"/>
      <c r="W211" s="172"/>
      <c r="X211" s="179"/>
      <c r="Y211" s="180"/>
      <c r="Z211" s="179"/>
      <c r="AA211" s="180"/>
      <c r="AB211" s="180"/>
    </row>
    <row r="212" spans="17:28" ht="15.5" x14ac:dyDescent="0.45">
      <c r="Q212" s="172" t="s">
        <v>381</v>
      </c>
      <c r="R212" s="187" t="s">
        <v>272</v>
      </c>
      <c r="S212" s="188"/>
      <c r="T212" s="188"/>
      <c r="U212" s="187" t="s">
        <v>272</v>
      </c>
      <c r="V212" s="188"/>
      <c r="W212" s="188"/>
      <c r="X212" s="179" t="s">
        <v>273</v>
      </c>
      <c r="Y212" s="180" t="s">
        <v>273</v>
      </c>
      <c r="Z212" s="179" t="s">
        <v>273</v>
      </c>
      <c r="AA212" s="180" t="s">
        <v>273</v>
      </c>
      <c r="AB212" s="180" t="s">
        <v>273</v>
      </c>
    </row>
    <row r="213" spans="17:28" ht="15.5" x14ac:dyDescent="0.45">
      <c r="Q213" s="184"/>
      <c r="R213" s="185"/>
      <c r="S213" s="174"/>
      <c r="T213" s="172"/>
      <c r="U213" s="186"/>
      <c r="V213" s="174"/>
      <c r="W213" s="172"/>
      <c r="X213" s="179"/>
      <c r="Y213" s="180"/>
      <c r="Z213" s="179"/>
      <c r="AA213" s="180"/>
      <c r="AB213" s="180"/>
    </row>
    <row r="214" spans="17:28" ht="15.5" x14ac:dyDescent="0.45">
      <c r="Q214" s="172" t="s">
        <v>382</v>
      </c>
      <c r="R214" s="173">
        <v>0.04</v>
      </c>
      <c r="S214" s="174" t="s">
        <v>262</v>
      </c>
      <c r="T214" s="175">
        <v>0</v>
      </c>
      <c r="U214" s="176">
        <v>0.04</v>
      </c>
      <c r="V214" s="174" t="s">
        <v>262</v>
      </c>
      <c r="W214" s="175">
        <v>0</v>
      </c>
      <c r="X214" s="177">
        <v>14600</v>
      </c>
      <c r="Y214" s="175">
        <v>29200</v>
      </c>
      <c r="Z214" s="179" t="s">
        <v>273</v>
      </c>
      <c r="AA214" s="180" t="s">
        <v>273</v>
      </c>
      <c r="AB214" s="180" t="s">
        <v>273</v>
      </c>
    </row>
    <row r="215" spans="17:28" ht="15.5" x14ac:dyDescent="0.45">
      <c r="Q215" s="172" t="s">
        <v>383</v>
      </c>
      <c r="R215" s="173">
        <v>0.06</v>
      </c>
      <c r="S215" s="174" t="s">
        <v>262</v>
      </c>
      <c r="T215" s="175">
        <v>10000</v>
      </c>
      <c r="U215" s="176">
        <v>0.06</v>
      </c>
      <c r="V215" s="174" t="s">
        <v>262</v>
      </c>
      <c r="W215" s="175">
        <v>10000</v>
      </c>
      <c r="X215" s="179"/>
      <c r="Y215" s="180"/>
      <c r="Z215" s="179"/>
      <c r="AA215" s="180"/>
      <c r="AB215" s="180"/>
    </row>
    <row r="216" spans="17:28" ht="15.5" x14ac:dyDescent="0.45">
      <c r="Q216" s="184"/>
      <c r="R216" s="173">
        <v>6.5000000000000002E-2</v>
      </c>
      <c r="S216" s="174" t="s">
        <v>262</v>
      </c>
      <c r="T216" s="175">
        <v>40000</v>
      </c>
      <c r="U216" s="176">
        <v>6.5000000000000002E-2</v>
      </c>
      <c r="V216" s="174" t="s">
        <v>262</v>
      </c>
      <c r="W216" s="175">
        <v>40000</v>
      </c>
      <c r="X216" s="179"/>
      <c r="Y216" s="180"/>
      <c r="Z216" s="179"/>
      <c r="AA216" s="180"/>
      <c r="AB216" s="180"/>
    </row>
    <row r="217" spans="17:28" ht="15.5" x14ac:dyDescent="0.45">
      <c r="Q217" s="184"/>
      <c r="R217" s="173">
        <v>8.5000000000000006E-2</v>
      </c>
      <c r="S217" s="174" t="s">
        <v>262</v>
      </c>
      <c r="T217" s="175">
        <v>60000</v>
      </c>
      <c r="U217" s="176">
        <v>8.5000000000000006E-2</v>
      </c>
      <c r="V217" s="174" t="s">
        <v>262</v>
      </c>
      <c r="W217" s="175">
        <v>60000</v>
      </c>
      <c r="X217" s="179"/>
      <c r="Y217" s="180"/>
      <c r="Z217" s="179"/>
      <c r="AA217" s="180"/>
      <c r="AB217" s="180"/>
    </row>
    <row r="218" spans="17:28" ht="15.5" x14ac:dyDescent="0.45">
      <c r="Q218" s="184"/>
      <c r="R218" s="176">
        <v>9.2499999999999999E-2</v>
      </c>
      <c r="S218" s="174" t="s">
        <v>262</v>
      </c>
      <c r="T218" s="175">
        <v>250000</v>
      </c>
      <c r="U218" s="176">
        <v>9.2499999999999999E-2</v>
      </c>
      <c r="V218" s="174" t="s">
        <v>262</v>
      </c>
      <c r="W218" s="175">
        <v>250000</v>
      </c>
      <c r="X218" s="179"/>
      <c r="Y218" s="180"/>
      <c r="Z218" s="179"/>
      <c r="AA218" s="180"/>
      <c r="AB218" s="180"/>
    </row>
    <row r="219" spans="17:28" ht="15.5" x14ac:dyDescent="0.45">
      <c r="Q219" s="184"/>
      <c r="R219" s="176">
        <v>9.7500000000000003E-2</v>
      </c>
      <c r="S219" s="172" t="s">
        <v>262</v>
      </c>
      <c r="T219" s="175">
        <v>500000</v>
      </c>
      <c r="U219" s="176">
        <v>9.7500000000000003E-2</v>
      </c>
      <c r="V219" s="172" t="s">
        <v>262</v>
      </c>
      <c r="W219" s="175">
        <v>500000</v>
      </c>
      <c r="X219" s="179"/>
      <c r="Y219" s="180"/>
      <c r="Z219" s="179"/>
      <c r="AA219" s="180"/>
      <c r="AB219" s="180"/>
    </row>
    <row r="220" spans="17:28" ht="15.5" x14ac:dyDescent="0.45">
      <c r="Q220" s="184"/>
      <c r="R220" s="176">
        <v>0.1075</v>
      </c>
      <c r="S220" s="172" t="s">
        <v>262</v>
      </c>
      <c r="T220" s="175">
        <v>1000000</v>
      </c>
      <c r="U220" s="176">
        <v>0.1075</v>
      </c>
      <c r="V220" s="172" t="s">
        <v>262</v>
      </c>
      <c r="W220" s="175">
        <v>1000000</v>
      </c>
      <c r="X220" s="179"/>
      <c r="Y220" s="180"/>
      <c r="Z220" s="179"/>
      <c r="AA220" s="180"/>
      <c r="AB220" s="180"/>
    </row>
    <row r="221" spans="17:28" ht="15.5" x14ac:dyDescent="0.45">
      <c r="Q221" s="184"/>
      <c r="R221" s="174"/>
      <c r="S221" s="174"/>
      <c r="T221" s="172"/>
      <c r="U221" s="172"/>
      <c r="V221" s="174"/>
      <c r="W221" s="172"/>
      <c r="X221" s="172"/>
      <c r="Y221" s="172"/>
      <c r="Z221" s="172"/>
      <c r="AA221" s="172"/>
      <c r="AB221" s="172"/>
    </row>
    <row r="264" spans="17:28" ht="15.5" x14ac:dyDescent="0.45">
      <c r="Q264" s="184"/>
      <c r="R264" s="186"/>
      <c r="S264" s="172"/>
      <c r="T264" s="172"/>
      <c r="U264" s="186"/>
      <c r="V264" s="172"/>
      <c r="W264" s="172"/>
      <c r="X264" s="179"/>
      <c r="Y264" s="180"/>
      <c r="Z264" s="179"/>
      <c r="AA264" s="180"/>
      <c r="AB264" s="180"/>
    </row>
  </sheetData>
  <mergeCells count="22">
    <mergeCell ref="R199:T199"/>
    <mergeCell ref="U199:W199"/>
    <mergeCell ref="R212:T212"/>
    <mergeCell ref="U212:W212"/>
    <mergeCell ref="R181:T181"/>
    <mergeCell ref="U181:W181"/>
    <mergeCell ref="R183:T183"/>
    <mergeCell ref="U183:W183"/>
    <mergeCell ref="R185:T185"/>
    <mergeCell ref="U185:W185"/>
    <mergeCell ref="R43:T43"/>
    <mergeCell ref="U43:W43"/>
    <mergeCell ref="R122:T122"/>
    <mergeCell ref="U122:W122"/>
    <mergeCell ref="R124:T124"/>
    <mergeCell ref="U124:W124"/>
    <mergeCell ref="R1:T1"/>
    <mergeCell ref="U1:W1"/>
    <mergeCell ref="X1:Y1"/>
    <mergeCell ref="Z1:AB1"/>
    <mergeCell ref="R7:T7"/>
    <mergeCell ref="U7:W7"/>
  </mergeCells>
  <dataValidations count="1">
    <dataValidation type="list" allowBlank="1" showInputMessage="1" showErrorMessage="1" sqref="I1" xr:uid="{FC0E510D-0F7B-4D9C-9D46-9604DA983ECD}">
      <formula1>$F:$F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5253-212C-409A-9D0B-B9C6D20F8B23}">
  <sheetPr>
    <tabColor theme="9" tint="0.59999389629810485"/>
    <pageSetUpPr autoPageBreaks="0"/>
  </sheetPr>
  <dimension ref="B1:S48"/>
  <sheetViews>
    <sheetView showGridLines="0" tabSelected="1" zoomScaleNormal="100" workbookViewId="0">
      <selection activeCell="G8" sqref="G8"/>
    </sheetView>
  </sheetViews>
  <sheetFormatPr defaultColWidth="9.1796875" defaultRowHeight="14.5" x14ac:dyDescent="0.35"/>
  <cols>
    <col min="1" max="1" width="1.7265625" style="1" customWidth="1"/>
    <col min="2" max="2" width="17.1796875" style="1" customWidth="1"/>
    <col min="3" max="3" width="3.453125" style="1" customWidth="1"/>
    <col min="4" max="4" width="27.1796875" style="1" bestFit="1" customWidth="1"/>
    <col min="5" max="8" width="16" style="1" customWidth="1"/>
    <col min="9" max="9" width="2.7265625" style="1" customWidth="1"/>
    <col min="10" max="10" width="2.7265625" style="7" customWidth="1"/>
    <col min="11" max="12" width="20" style="1" customWidth="1"/>
    <col min="13" max="13" width="2" style="1" customWidth="1"/>
    <col min="14" max="15" width="20" style="1" customWidth="1"/>
    <col min="16" max="16" width="2.7265625" style="1" customWidth="1"/>
    <col min="17" max="17" width="2.7265625" style="7" customWidth="1"/>
    <col min="18" max="18" width="21.453125" style="1" customWidth="1"/>
    <col min="19" max="19" width="13.1796875" style="1" customWidth="1"/>
    <col min="20" max="21" width="13.54296875" style="1" customWidth="1"/>
    <col min="22" max="22" width="4.26953125" style="1" customWidth="1"/>
    <col min="23" max="23" width="15.453125" style="1" bestFit="1" customWidth="1"/>
    <col min="24" max="24" width="14" style="1" customWidth="1"/>
    <col min="25" max="25" width="4.26953125" style="1" customWidth="1"/>
    <col min="26" max="26" width="15.453125" style="1" bestFit="1" customWidth="1"/>
    <col min="27" max="27" width="14" style="1" customWidth="1"/>
    <col min="28" max="28" width="4.26953125" style="1" customWidth="1"/>
    <col min="29" max="29" width="17.7265625" style="1" bestFit="1" customWidth="1"/>
    <col min="30" max="30" width="14" style="1" customWidth="1"/>
    <col min="31" max="31" width="2.453125" style="1" customWidth="1"/>
    <col min="32" max="16384" width="9.1796875" style="1"/>
  </cols>
  <sheetData>
    <row r="1" spans="2:19" ht="15" customHeight="1" x14ac:dyDescent="0.35">
      <c r="G1" s="2"/>
      <c r="H1" s="2"/>
      <c r="I1" s="2"/>
      <c r="J1" s="2"/>
      <c r="K1" s="2"/>
      <c r="L1" s="2"/>
      <c r="M1" s="2"/>
      <c r="N1" s="2"/>
      <c r="O1" s="2"/>
      <c r="P1" s="2"/>
      <c r="Q1" s="2"/>
      <c r="R1" s="2"/>
      <c r="S1" s="2"/>
    </row>
    <row r="2" spans="2:19" ht="15" thickBot="1" x14ac:dyDescent="0.4">
      <c r="B2" s="3" t="s">
        <v>0</v>
      </c>
      <c r="C2" s="3"/>
      <c r="D2" s="3"/>
      <c r="E2" s="3"/>
      <c r="F2" s="4"/>
      <c r="G2" s="4"/>
      <c r="H2" s="4"/>
      <c r="I2" s="4"/>
      <c r="J2" s="4"/>
      <c r="K2" s="4"/>
      <c r="L2" s="4"/>
      <c r="M2" s="4"/>
      <c r="N2" s="4"/>
      <c r="O2" s="4"/>
      <c r="P2" s="4"/>
      <c r="Q2" s="4"/>
      <c r="R2" s="4"/>
      <c r="S2" s="4"/>
    </row>
    <row r="3" spans="2:19" ht="15" customHeight="1" x14ac:dyDescent="0.35">
      <c r="I3" s="2"/>
      <c r="J3" s="2"/>
      <c r="K3" s="2"/>
      <c r="L3" s="2"/>
      <c r="M3" s="2"/>
      <c r="N3" s="2"/>
      <c r="O3" s="2"/>
      <c r="P3" s="2"/>
      <c r="Q3" s="2"/>
      <c r="R3" s="2"/>
    </row>
    <row r="5" spans="2:19" ht="16" x14ac:dyDescent="0.35">
      <c r="B5" s="5" t="s">
        <v>1</v>
      </c>
      <c r="C5" s="5"/>
      <c r="D5" s="5"/>
      <c r="E5" s="5"/>
      <c r="F5" s="6"/>
      <c r="G5" s="6"/>
      <c r="H5" s="6"/>
      <c r="I5" s="2"/>
      <c r="K5" s="5" t="s">
        <v>2</v>
      </c>
      <c r="L5" s="6"/>
      <c r="M5" s="6"/>
      <c r="N5" s="6"/>
      <c r="O5" s="6"/>
      <c r="P5" s="2"/>
      <c r="R5" s="5" t="s">
        <v>3</v>
      </c>
      <c r="S5" s="6"/>
    </row>
    <row r="6" spans="2:19" ht="15" customHeight="1" x14ac:dyDescent="0.35">
      <c r="B6" s="2"/>
      <c r="C6" s="2"/>
      <c r="D6" s="2"/>
      <c r="E6" s="2"/>
      <c r="F6" s="2"/>
      <c r="G6" s="2"/>
      <c r="H6" s="2"/>
      <c r="I6" s="2"/>
      <c r="K6" s="2"/>
      <c r="L6" s="2"/>
      <c r="M6" s="2"/>
      <c r="N6" s="2"/>
      <c r="P6" s="2"/>
      <c r="R6" s="2"/>
      <c r="S6" s="2"/>
    </row>
    <row r="7" spans="2:19" s="13" customFormat="1" ht="29" x14ac:dyDescent="0.35">
      <c r="B7" s="8" t="s">
        <v>4</v>
      </c>
      <c r="C7" s="9"/>
      <c r="D7" s="10" t="s">
        <v>5</v>
      </c>
      <c r="E7" s="10" t="s">
        <v>6</v>
      </c>
      <c r="F7" s="10" t="s">
        <v>7</v>
      </c>
      <c r="G7" s="10" t="s">
        <v>8</v>
      </c>
      <c r="H7" s="10" t="s">
        <v>9</v>
      </c>
      <c r="I7" s="11"/>
      <c r="J7" s="12"/>
      <c r="K7" s="5" t="s">
        <v>10</v>
      </c>
      <c r="L7" s="6"/>
      <c r="M7" s="11"/>
      <c r="N7" s="5" t="s">
        <v>11</v>
      </c>
      <c r="O7" s="6"/>
      <c r="P7" s="11"/>
      <c r="Q7" s="12"/>
      <c r="R7" s="5" t="s">
        <v>12</v>
      </c>
      <c r="S7" s="5"/>
    </row>
    <row r="8" spans="2:19" ht="15" customHeight="1" x14ac:dyDescent="0.35">
      <c r="B8" s="8"/>
      <c r="C8" s="9"/>
      <c r="D8" s="14" t="s">
        <v>13</v>
      </c>
      <c r="E8" s="15" t="s">
        <v>14</v>
      </c>
      <c r="F8" s="16">
        <v>4063</v>
      </c>
      <c r="G8" s="17">
        <f>_xlfn.XLOOKUP(E8,Mapping!A:A,Mapping!B:B,"",0,1)</f>
        <v>1</v>
      </c>
      <c r="H8" s="18">
        <f>+F8*G8</f>
        <v>4063</v>
      </c>
      <c r="I8" s="2"/>
      <c r="K8" s="19" t="s">
        <v>15</v>
      </c>
      <c r="L8" s="16"/>
      <c r="M8" s="2"/>
      <c r="N8" s="19" t="s">
        <v>16</v>
      </c>
      <c r="O8" s="16"/>
      <c r="P8" s="2"/>
      <c r="R8" s="20" t="s">
        <v>17</v>
      </c>
      <c r="S8" s="20">
        <f>IF(H15=0,H27,H15)</f>
        <v>4063</v>
      </c>
    </row>
    <row r="9" spans="2:19" ht="15" customHeight="1" x14ac:dyDescent="0.35">
      <c r="B9" s="8"/>
      <c r="C9" s="9"/>
      <c r="D9" s="15"/>
      <c r="E9" s="15"/>
      <c r="F9" s="16"/>
      <c r="G9" s="17">
        <f>_xlfn.XLOOKUP(E9,Mapping!A:A,Mapping!B:B,"",0,1)</f>
        <v>0</v>
      </c>
      <c r="H9" s="18">
        <f t="shared" ref="H9:H14" si="0">+F9*G9</f>
        <v>0</v>
      </c>
      <c r="I9" s="2"/>
      <c r="K9" s="19" t="s">
        <v>18</v>
      </c>
      <c r="L9" s="16"/>
      <c r="M9" s="2"/>
      <c r="N9" s="19" t="s">
        <v>19</v>
      </c>
      <c r="O9" s="16"/>
      <c r="P9" s="2"/>
      <c r="R9" s="2" t="s">
        <v>20</v>
      </c>
      <c r="S9" s="2">
        <f>-SUM(L:L)</f>
        <v>0</v>
      </c>
    </row>
    <row r="10" spans="2:19" ht="15" customHeight="1" x14ac:dyDescent="0.35">
      <c r="B10" s="8"/>
      <c r="C10" s="9"/>
      <c r="D10" s="15"/>
      <c r="E10" s="15"/>
      <c r="F10" s="16"/>
      <c r="G10" s="17">
        <f>_xlfn.XLOOKUP(E10,Mapping!A:A,Mapping!B:B,"",0,1)</f>
        <v>0</v>
      </c>
      <c r="H10" s="18">
        <f t="shared" si="0"/>
        <v>0</v>
      </c>
      <c r="I10" s="2"/>
      <c r="K10" s="19" t="s">
        <v>21</v>
      </c>
      <c r="L10" s="16"/>
      <c r="M10" s="2"/>
      <c r="N10" s="19" t="s">
        <v>22</v>
      </c>
      <c r="O10" s="16"/>
      <c r="P10" s="2"/>
      <c r="R10" s="21" t="s">
        <v>23</v>
      </c>
      <c r="S10" s="21">
        <f>-SUM(O:O)</f>
        <v>0</v>
      </c>
    </row>
    <row r="11" spans="2:19" ht="15" customHeight="1" x14ac:dyDescent="0.35">
      <c r="B11" s="8"/>
      <c r="C11" s="9"/>
      <c r="D11" s="15"/>
      <c r="E11" s="15"/>
      <c r="F11" s="16"/>
      <c r="G11" s="17">
        <f>_xlfn.XLOOKUP(E11,Mapping!A:A,Mapping!B:B,"",0,1)</f>
        <v>0</v>
      </c>
      <c r="H11" s="18">
        <f t="shared" si="0"/>
        <v>0</v>
      </c>
      <c r="I11" s="2"/>
      <c r="K11" s="19" t="s">
        <v>24</v>
      </c>
      <c r="L11" s="16"/>
      <c r="M11" s="2"/>
      <c r="N11" s="19" t="s">
        <v>25</v>
      </c>
      <c r="O11" s="16"/>
      <c r="P11" s="2"/>
      <c r="R11" s="2" t="s">
        <v>26</v>
      </c>
      <c r="S11" s="2">
        <f>SUM(S8:S10)</f>
        <v>4063</v>
      </c>
    </row>
    <row r="12" spans="2:19" ht="15" customHeight="1" x14ac:dyDescent="0.35">
      <c r="D12" s="15"/>
      <c r="E12" s="15"/>
      <c r="F12" s="16"/>
      <c r="G12" s="17">
        <f>_xlfn.XLOOKUP(E12,Mapping!A:A,Mapping!B:B,"",0,1)</f>
        <v>0</v>
      </c>
      <c r="H12" s="18">
        <f t="shared" si="0"/>
        <v>0</v>
      </c>
      <c r="I12" s="2"/>
      <c r="K12" s="19" t="s">
        <v>27</v>
      </c>
      <c r="L12" s="16"/>
      <c r="M12" s="2"/>
      <c r="N12" s="19" t="s">
        <v>28</v>
      </c>
      <c r="O12" s="22"/>
      <c r="P12" s="2"/>
    </row>
    <row r="13" spans="2:19" ht="15" customHeight="1" x14ac:dyDescent="0.35">
      <c r="D13" s="15"/>
      <c r="E13" s="15"/>
      <c r="F13" s="16"/>
      <c r="G13" s="17">
        <f>_xlfn.XLOOKUP(E13,Mapping!A:A,Mapping!B:B,"",0,1)</f>
        <v>0</v>
      </c>
      <c r="H13" s="18">
        <f t="shared" si="0"/>
        <v>0</v>
      </c>
      <c r="I13" s="2"/>
      <c r="K13" s="19" t="s">
        <v>29</v>
      </c>
      <c r="L13" s="16"/>
      <c r="M13" s="2"/>
      <c r="N13" s="19" t="s">
        <v>30</v>
      </c>
      <c r="O13" s="22"/>
      <c r="P13" s="2"/>
    </row>
    <row r="14" spans="2:19" ht="15" customHeight="1" x14ac:dyDescent="0.35">
      <c r="D14" s="15"/>
      <c r="E14" s="15"/>
      <c r="F14" s="16"/>
      <c r="G14" s="17">
        <f>_xlfn.XLOOKUP(E14,Mapping!A:A,Mapping!B:B,"",0,1)</f>
        <v>0</v>
      </c>
      <c r="H14" s="18">
        <f t="shared" si="0"/>
        <v>0</v>
      </c>
      <c r="I14" s="2"/>
      <c r="K14" s="19" t="s">
        <v>31</v>
      </c>
      <c r="L14" s="16"/>
      <c r="M14" s="2"/>
      <c r="N14" s="19" t="s">
        <v>32</v>
      </c>
      <c r="O14" s="22"/>
      <c r="P14" s="2"/>
    </row>
    <row r="15" spans="2:19" ht="15" thickBot="1" x14ac:dyDescent="0.4">
      <c r="D15" s="23" t="s">
        <v>33</v>
      </c>
      <c r="E15" s="24"/>
      <c r="F15" s="24"/>
      <c r="G15" s="25"/>
      <c r="H15" s="26">
        <f>SUM(H8:H14)</f>
        <v>4063</v>
      </c>
      <c r="I15" s="2"/>
      <c r="K15" s="19" t="s">
        <v>34</v>
      </c>
      <c r="L15" s="16"/>
      <c r="M15" s="2"/>
      <c r="N15" s="19" t="s">
        <v>35</v>
      </c>
      <c r="O15" s="22"/>
      <c r="P15" s="2"/>
    </row>
    <row r="16" spans="2:19" ht="15" customHeight="1" thickTop="1" x14ac:dyDescent="0.35">
      <c r="G16" s="2"/>
      <c r="I16" s="2"/>
      <c r="K16" s="19" t="s">
        <v>36</v>
      </c>
      <c r="L16" s="16"/>
      <c r="M16" s="2"/>
      <c r="N16" s="19" t="s">
        <v>37</v>
      </c>
      <c r="O16" s="22"/>
      <c r="P16" s="2"/>
    </row>
    <row r="17" spans="2:18" ht="16" x14ac:dyDescent="0.35">
      <c r="B17" s="27" t="s">
        <v>38</v>
      </c>
      <c r="G17" s="2"/>
      <c r="K17" s="19" t="s">
        <v>39</v>
      </c>
      <c r="L17" s="16"/>
      <c r="N17" s="19" t="s">
        <v>40</v>
      </c>
      <c r="O17" s="22"/>
    </row>
    <row r="18" spans="2:18" ht="15" customHeight="1" x14ac:dyDescent="0.35">
      <c r="B18" s="28" t="s">
        <v>41</v>
      </c>
      <c r="G18" s="2"/>
      <c r="H18" s="2"/>
      <c r="K18" s="19" t="s">
        <v>42</v>
      </c>
      <c r="L18" s="16"/>
      <c r="N18" s="19"/>
      <c r="O18" s="22"/>
    </row>
    <row r="19" spans="2:18" ht="15" customHeight="1" x14ac:dyDescent="0.35">
      <c r="B19" s="28" t="s">
        <v>43</v>
      </c>
      <c r="G19" s="2"/>
      <c r="H19" s="2"/>
      <c r="K19" s="19" t="s">
        <v>44</v>
      </c>
      <c r="L19" s="16"/>
      <c r="N19" s="19"/>
      <c r="O19" s="22"/>
    </row>
    <row r="20" spans="2:18" ht="15" customHeight="1" x14ac:dyDescent="0.35">
      <c r="B20" s="28" t="s">
        <v>45</v>
      </c>
      <c r="F20" s="29"/>
      <c r="G20" s="2"/>
      <c r="H20" s="2"/>
      <c r="K20" s="19" t="s">
        <v>46</v>
      </c>
      <c r="L20" s="15"/>
      <c r="N20" s="19"/>
      <c r="O20" s="22"/>
    </row>
    <row r="21" spans="2:18" ht="15" customHeight="1" x14ac:dyDescent="0.35">
      <c r="B21" s="28"/>
      <c r="F21" s="29"/>
      <c r="G21" s="2"/>
      <c r="H21" s="2"/>
      <c r="K21" s="19" t="s">
        <v>47</v>
      </c>
      <c r="L21" s="15"/>
      <c r="N21" s="19"/>
      <c r="O21" s="22"/>
    </row>
    <row r="22" spans="2:18" ht="15" customHeight="1" x14ac:dyDescent="0.35">
      <c r="E22" s="30" t="s">
        <v>13</v>
      </c>
      <c r="F22" s="30" t="s">
        <v>13</v>
      </c>
      <c r="G22" s="30" t="s">
        <v>13</v>
      </c>
      <c r="H22" s="31" t="s">
        <v>48</v>
      </c>
      <c r="K22" s="19" t="s">
        <v>49</v>
      </c>
      <c r="L22" s="15"/>
      <c r="N22" s="19"/>
      <c r="O22" s="22"/>
    </row>
    <row r="23" spans="2:18" ht="15" customHeight="1" x14ac:dyDescent="0.35">
      <c r="B23" s="8" t="s">
        <v>50</v>
      </c>
      <c r="C23" s="32"/>
      <c r="D23" s="2" t="s">
        <v>51</v>
      </c>
      <c r="E23" s="16">
        <v>75000</v>
      </c>
      <c r="F23" s="16"/>
      <c r="G23" s="16"/>
      <c r="H23" s="18">
        <f>SUM(E23:G23)</f>
        <v>75000</v>
      </c>
      <c r="K23" s="19" t="s">
        <v>52</v>
      </c>
      <c r="L23" s="15"/>
      <c r="N23" s="19"/>
      <c r="O23" s="22"/>
    </row>
    <row r="24" spans="2:18" ht="15" customHeight="1" x14ac:dyDescent="0.35">
      <c r="B24" s="8"/>
      <c r="C24" s="32"/>
      <c r="D24" s="21" t="s">
        <v>53</v>
      </c>
      <c r="E24" s="33">
        <v>0.35</v>
      </c>
      <c r="F24" s="33"/>
      <c r="G24" s="33"/>
      <c r="H24" s="34">
        <v>0.35</v>
      </c>
      <c r="K24" s="19"/>
      <c r="L24" s="15"/>
      <c r="N24" s="19"/>
      <c r="O24" s="22"/>
    </row>
    <row r="25" spans="2:18" ht="15" customHeight="1" x14ac:dyDescent="0.35">
      <c r="B25" s="8"/>
      <c r="C25" s="32"/>
      <c r="D25" s="1" t="s">
        <v>54</v>
      </c>
      <c r="E25" s="35">
        <f>+E23*(1-E24)</f>
        <v>48750</v>
      </c>
      <c r="F25" s="35">
        <f>+F23*(1-F24)</f>
        <v>0</v>
      </c>
      <c r="G25" s="35">
        <f>+G23*(1-G24)</f>
        <v>0</v>
      </c>
      <c r="H25" s="36">
        <f>+H23*(1-H24)</f>
        <v>48750</v>
      </c>
      <c r="K25" s="19"/>
      <c r="L25" s="15"/>
      <c r="N25" s="19"/>
      <c r="O25" s="22"/>
    </row>
    <row r="26" spans="2:18" ht="15" customHeight="1" x14ac:dyDescent="0.35">
      <c r="B26" s="8"/>
      <c r="C26" s="32"/>
      <c r="D26" s="21" t="s">
        <v>55</v>
      </c>
      <c r="E26" s="21">
        <v>12</v>
      </c>
      <c r="F26" s="21">
        <v>12</v>
      </c>
      <c r="G26" s="21">
        <v>12</v>
      </c>
      <c r="H26" s="37">
        <v>12</v>
      </c>
      <c r="K26" s="19"/>
      <c r="L26" s="15"/>
      <c r="N26" s="19"/>
      <c r="O26" s="22"/>
    </row>
    <row r="27" spans="2:18" ht="15" customHeight="1" x14ac:dyDescent="0.35">
      <c r="B27" s="8"/>
      <c r="C27" s="32"/>
      <c r="D27" s="1" t="s">
        <v>56</v>
      </c>
      <c r="E27" s="35">
        <f>+E25/E26</f>
        <v>4062.5</v>
      </c>
      <c r="F27" s="35">
        <f>+F25/F26</f>
        <v>0</v>
      </c>
      <c r="G27" s="35">
        <f>+G25/G26</f>
        <v>0</v>
      </c>
      <c r="H27" s="36">
        <f>+H25/H26</f>
        <v>4062.5</v>
      </c>
      <c r="K27" s="19"/>
      <c r="L27" s="15"/>
      <c r="N27" s="19"/>
      <c r="O27" s="22"/>
    </row>
    <row r="28" spans="2:18" ht="15" customHeight="1" x14ac:dyDescent="0.35">
      <c r="G28" s="2"/>
      <c r="H28" s="2"/>
      <c r="K28" s="19"/>
      <c r="L28" s="15"/>
      <c r="N28" s="19"/>
      <c r="O28" s="22"/>
    </row>
    <row r="29" spans="2:18" ht="15" customHeight="1" x14ac:dyDescent="0.35">
      <c r="G29" s="2"/>
      <c r="H29" s="2"/>
      <c r="N29" s="2"/>
    </row>
    <row r="30" spans="2:18" s="39" customFormat="1" ht="16" x14ac:dyDescent="0.35">
      <c r="B30" s="27" t="s">
        <v>38</v>
      </c>
      <c r="C30" s="38"/>
      <c r="D30" s="38"/>
      <c r="E30" s="1"/>
      <c r="F30" s="1"/>
      <c r="G30" s="2"/>
      <c r="H30" s="2"/>
      <c r="I30" s="1"/>
      <c r="J30" s="7"/>
      <c r="K30" s="27" t="s">
        <v>38</v>
      </c>
      <c r="L30" s="1"/>
      <c r="M30" s="1"/>
      <c r="N30" s="2"/>
      <c r="O30" s="1"/>
      <c r="P30" s="1"/>
      <c r="Q30" s="7"/>
      <c r="R30" s="27" t="s">
        <v>38</v>
      </c>
    </row>
    <row r="31" spans="2:18" s="42" customFormat="1" ht="15" customHeight="1" x14ac:dyDescent="0.35">
      <c r="B31" s="28" t="s">
        <v>57</v>
      </c>
      <c r="C31" s="28"/>
      <c r="D31" s="28"/>
      <c r="E31" s="28"/>
      <c r="F31" s="28"/>
      <c r="G31" s="40"/>
      <c r="H31" s="40"/>
      <c r="I31" s="28"/>
      <c r="J31" s="41"/>
      <c r="K31" s="28" t="s">
        <v>58</v>
      </c>
      <c r="L31" s="28"/>
      <c r="M31" s="28"/>
      <c r="N31" s="40"/>
      <c r="O31" s="28"/>
      <c r="P31" s="28"/>
      <c r="Q31" s="41"/>
      <c r="R31" s="28" t="s">
        <v>59</v>
      </c>
    </row>
    <row r="32" spans="2:18" s="42" customFormat="1" ht="15" customHeight="1" x14ac:dyDescent="0.35">
      <c r="B32" s="28" t="s">
        <v>60</v>
      </c>
      <c r="C32" s="28"/>
      <c r="D32" s="28"/>
      <c r="E32" s="28"/>
      <c r="F32" s="28"/>
      <c r="G32" s="40"/>
      <c r="H32" s="40"/>
      <c r="I32" s="28"/>
      <c r="J32" s="41"/>
      <c r="K32" s="28" t="s">
        <v>61</v>
      </c>
      <c r="L32" s="28"/>
      <c r="M32" s="28"/>
      <c r="N32" s="40"/>
      <c r="O32" s="28"/>
      <c r="P32" s="28"/>
      <c r="Q32" s="41"/>
      <c r="R32" s="28"/>
    </row>
    <row r="33" spans="2:18" s="42" customFormat="1" ht="15" customHeight="1" x14ac:dyDescent="0.35">
      <c r="B33" s="28" t="s">
        <v>62</v>
      </c>
      <c r="C33" s="28"/>
      <c r="D33" s="28"/>
      <c r="E33" s="28"/>
      <c r="F33" s="28"/>
      <c r="G33" s="40"/>
      <c r="H33" s="40"/>
      <c r="I33" s="28"/>
      <c r="J33" s="41"/>
      <c r="K33" s="28"/>
      <c r="L33" s="28"/>
      <c r="M33" s="28"/>
      <c r="N33" s="40"/>
      <c r="O33" s="28"/>
      <c r="P33" s="28"/>
      <c r="Q33" s="41"/>
      <c r="R33" s="28"/>
    </row>
    <row r="34" spans="2:18" s="28" customFormat="1" ht="15" customHeight="1" x14ac:dyDescent="0.35">
      <c r="B34" s="28" t="s">
        <v>45</v>
      </c>
      <c r="G34" s="40"/>
      <c r="H34" s="40"/>
      <c r="I34" s="40"/>
      <c r="J34" s="41"/>
      <c r="M34" s="40"/>
      <c r="N34" s="40"/>
      <c r="P34" s="40"/>
      <c r="Q34" s="41"/>
    </row>
    <row r="35" spans="2:18" s="28" customFormat="1" ht="15" customHeight="1" x14ac:dyDescent="0.35">
      <c r="G35" s="40"/>
      <c r="H35" s="40"/>
      <c r="I35" s="40"/>
      <c r="J35" s="41"/>
      <c r="K35" s="40"/>
      <c r="L35" s="40"/>
      <c r="M35" s="40"/>
      <c r="N35" s="40"/>
      <c r="P35" s="40"/>
      <c r="Q35" s="41"/>
    </row>
    <row r="36" spans="2:18" s="28" customFormat="1" ht="15" customHeight="1" x14ac:dyDescent="0.35">
      <c r="G36" s="40"/>
      <c r="H36" s="40"/>
      <c r="I36" s="40"/>
      <c r="J36" s="41"/>
      <c r="K36" s="40"/>
      <c r="L36" s="40"/>
      <c r="M36" s="40"/>
      <c r="N36" s="40"/>
      <c r="P36" s="40"/>
      <c r="Q36" s="41"/>
    </row>
    <row r="37" spans="2:18" s="28" customFormat="1" ht="15" customHeight="1" x14ac:dyDescent="0.35">
      <c r="G37" s="40"/>
      <c r="H37" s="40"/>
      <c r="I37" s="40"/>
      <c r="J37" s="41"/>
      <c r="K37" s="40"/>
      <c r="L37" s="40"/>
      <c r="M37" s="40"/>
      <c r="N37" s="40"/>
      <c r="P37" s="40"/>
      <c r="Q37" s="41"/>
    </row>
    <row r="38" spans="2:18" s="28" customFormat="1" ht="15" customHeight="1" x14ac:dyDescent="0.35">
      <c r="G38" s="40"/>
      <c r="H38" s="40"/>
      <c r="I38" s="40"/>
      <c r="J38" s="41"/>
      <c r="K38" s="40"/>
      <c r="L38" s="40"/>
      <c r="M38" s="40"/>
      <c r="N38" s="40"/>
      <c r="P38" s="40"/>
      <c r="Q38" s="41"/>
    </row>
    <row r="39" spans="2:18" s="28" customFormat="1" ht="15" customHeight="1" x14ac:dyDescent="0.35">
      <c r="G39" s="40"/>
      <c r="H39" s="40"/>
      <c r="I39" s="40"/>
      <c r="J39" s="41"/>
      <c r="K39" s="40"/>
      <c r="L39" s="40"/>
      <c r="M39" s="40"/>
      <c r="N39" s="40"/>
      <c r="P39" s="40"/>
      <c r="Q39" s="41"/>
    </row>
    <row r="40" spans="2:18" ht="15" customHeight="1" x14ac:dyDescent="0.35">
      <c r="G40" s="2"/>
      <c r="H40" s="2"/>
      <c r="I40" s="2"/>
      <c r="K40" s="2"/>
      <c r="L40" s="2"/>
      <c r="M40" s="2"/>
      <c r="N40" s="2"/>
      <c r="P40" s="2"/>
    </row>
    <row r="41" spans="2:18" ht="15" customHeight="1" x14ac:dyDescent="0.35">
      <c r="G41" s="2"/>
      <c r="H41" s="2"/>
      <c r="I41" s="2"/>
      <c r="K41" s="2"/>
      <c r="L41" s="2"/>
      <c r="M41" s="2"/>
      <c r="N41" s="2"/>
      <c r="P41" s="2"/>
    </row>
    <row r="42" spans="2:18" ht="15" customHeight="1" x14ac:dyDescent="0.35">
      <c r="G42" s="2"/>
      <c r="H42" s="2"/>
      <c r="I42" s="2"/>
      <c r="K42" s="2"/>
      <c r="L42" s="2"/>
      <c r="M42" s="2"/>
      <c r="N42" s="2"/>
      <c r="P42" s="2"/>
    </row>
    <row r="43" spans="2:18" ht="15" customHeight="1" x14ac:dyDescent="0.35">
      <c r="G43" s="2"/>
      <c r="H43" s="2"/>
      <c r="I43" s="2"/>
      <c r="K43" s="2"/>
      <c r="L43" s="2"/>
      <c r="M43" s="2"/>
      <c r="N43" s="2"/>
      <c r="P43" s="2"/>
    </row>
    <row r="44" spans="2:18" ht="15" customHeight="1" x14ac:dyDescent="0.35">
      <c r="G44" s="2"/>
      <c r="H44" s="2"/>
      <c r="I44" s="2"/>
      <c r="K44" s="2"/>
      <c r="L44" s="2"/>
      <c r="M44" s="2"/>
      <c r="N44" s="2"/>
      <c r="P44" s="2"/>
    </row>
    <row r="45" spans="2:18" ht="15" customHeight="1" x14ac:dyDescent="0.35">
      <c r="B45" s="2"/>
      <c r="C45" s="2"/>
      <c r="D45" s="2"/>
      <c r="E45" s="2"/>
      <c r="F45" s="2"/>
      <c r="G45" s="2"/>
      <c r="H45" s="2"/>
      <c r="I45" s="2"/>
      <c r="K45" s="2"/>
      <c r="L45" s="2"/>
      <c r="M45" s="2"/>
      <c r="N45" s="2"/>
      <c r="P45" s="2"/>
    </row>
    <row r="46" spans="2:18" ht="15" customHeight="1" x14ac:dyDescent="0.35">
      <c r="B46" s="2"/>
      <c r="C46" s="2"/>
      <c r="D46" s="2"/>
      <c r="E46" s="2"/>
      <c r="F46" s="2"/>
      <c r="G46" s="2"/>
      <c r="H46" s="2"/>
      <c r="I46" s="2"/>
      <c r="K46" s="2"/>
      <c r="L46" s="2"/>
      <c r="M46" s="2"/>
      <c r="N46" s="2"/>
      <c r="P46" s="2"/>
    </row>
    <row r="47" spans="2:18" ht="15" customHeight="1" x14ac:dyDescent="0.35">
      <c r="B47" s="2"/>
      <c r="C47" s="2"/>
      <c r="D47" s="2"/>
      <c r="E47" s="2"/>
      <c r="F47" s="2"/>
      <c r="G47" s="2"/>
      <c r="H47" s="2"/>
      <c r="I47" s="2"/>
      <c r="K47" s="2"/>
      <c r="L47" s="2"/>
      <c r="M47" s="2"/>
      <c r="N47" s="2"/>
      <c r="P47" s="2"/>
    </row>
    <row r="48" spans="2:18" ht="15" customHeight="1" x14ac:dyDescent="0.35">
      <c r="G48" s="2"/>
      <c r="H48" s="2"/>
      <c r="I48" s="2"/>
      <c r="K48" s="2"/>
      <c r="L48" s="2"/>
      <c r="M48" s="2"/>
      <c r="N48" s="2"/>
      <c r="P48" s="2"/>
    </row>
  </sheetData>
  <mergeCells count="2">
    <mergeCell ref="B7:B11"/>
    <mergeCell ref="B23:B27"/>
  </mergeCells>
  <conditionalFormatting sqref="S11">
    <cfRule type="cellIs" dxfId="1" priority="1" operator="greaterThan">
      <formula>0</formula>
    </cfRule>
    <cfRule type="cellIs" dxfId="0" priority="2" operator="lessThan">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3278A3E-493A-4336-85B4-54C6B40F1D7A}">
          <x14:formula1>
            <xm:f>Mapping!$D:$D</xm:f>
          </x14:formula1>
          <xm:sqref>D8 E22:G22</xm:sqref>
        </x14:dataValidation>
        <x14:dataValidation type="list" allowBlank="1" showInputMessage="1" showErrorMessage="1" xr:uid="{7129B193-3718-4094-8AE0-FBD25019CF55}">
          <x14:formula1>
            <xm:f>Mapping!$A:$A</xm:f>
          </x14:formula1>
          <xm:sqref>E8:E14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8228-9A4F-47B4-A09E-8624296A5320}">
  <sheetPr>
    <tabColor theme="9" tint="0.59999389629810485"/>
    <pageSetUpPr autoPageBreaks="0"/>
  </sheetPr>
  <dimension ref="B1:AI88"/>
  <sheetViews>
    <sheetView showGridLines="0" workbookViewId="0">
      <pane ySplit="9" topLeftCell="A10" activePane="bottomLeft" state="frozen"/>
      <selection pane="bottomLeft"/>
    </sheetView>
  </sheetViews>
  <sheetFormatPr defaultColWidth="8.7265625" defaultRowHeight="14.5" x14ac:dyDescent="0.35"/>
  <cols>
    <col min="1" max="1" width="2.81640625" customWidth="1"/>
    <col min="2" max="2" width="28.81640625" bestFit="1" customWidth="1"/>
    <col min="3" max="3" width="15.54296875" customWidth="1"/>
    <col min="4" max="4" width="5.7265625" customWidth="1"/>
    <col min="5" max="5" width="0.54296875" style="43" customWidth="1"/>
    <col min="6" max="6" width="5.7265625" customWidth="1"/>
    <col min="7" max="7" width="29.54296875" bestFit="1" customWidth="1"/>
    <col min="8" max="8" width="15.54296875" customWidth="1"/>
    <col min="9" max="9" width="5.7265625" customWidth="1"/>
    <col min="10" max="10" width="0.54296875" style="43" customWidth="1"/>
    <col min="11" max="11" width="5.7265625" customWidth="1"/>
    <col min="12" max="12" width="42.54296875" bestFit="1" customWidth="1"/>
    <col min="13" max="13" width="15.54296875" customWidth="1"/>
    <col min="14" max="14" width="5.7265625" customWidth="1"/>
    <col min="15" max="15" width="0.54296875" style="43" customWidth="1"/>
    <col min="16" max="16" width="5.7265625" customWidth="1"/>
    <col min="17" max="17" width="21.7265625" style="44" customWidth="1"/>
    <col min="18" max="21" width="13.26953125" customWidth="1"/>
    <col min="22" max="22" width="3.453125" customWidth="1"/>
    <col min="23" max="23" width="21.7265625" style="44" customWidth="1"/>
    <col min="24" max="27" width="13.26953125" customWidth="1"/>
    <col min="28" max="28" width="5.7265625" customWidth="1"/>
    <col min="29" max="29" width="0.54296875" style="43" customWidth="1"/>
    <col min="30" max="30" width="5.7265625" customWidth="1"/>
    <col min="31" max="31" width="34.54296875" customWidth="1"/>
    <col min="32" max="32" width="15.54296875" customWidth="1"/>
    <col min="33" max="33" width="3.453125" customWidth="1"/>
    <col min="34" max="34" width="34.54296875" customWidth="1"/>
    <col min="35" max="35" width="15.54296875" customWidth="1"/>
  </cols>
  <sheetData>
    <row r="1" spans="2:35" ht="7.5" customHeight="1" x14ac:dyDescent="0.35"/>
    <row r="2" spans="2:35" x14ac:dyDescent="0.35">
      <c r="B2" s="45" t="s">
        <v>63</v>
      </c>
      <c r="G2" s="45" t="s">
        <v>64</v>
      </c>
      <c r="L2" s="45" t="s">
        <v>65</v>
      </c>
      <c r="Q2" s="46" t="s">
        <v>66</v>
      </c>
      <c r="R2" s="47"/>
      <c r="S2" s="47"/>
      <c r="T2" s="48"/>
      <c r="U2" s="48"/>
      <c r="V2" s="48"/>
      <c r="W2" s="49"/>
      <c r="X2" s="47"/>
      <c r="AE2" s="45" t="s">
        <v>67</v>
      </c>
    </row>
    <row r="3" spans="2:35" ht="7.5" customHeight="1" x14ac:dyDescent="0.35"/>
    <row r="4" spans="2:35" x14ac:dyDescent="0.35">
      <c r="Q4" s="49" t="s">
        <v>68</v>
      </c>
      <c r="R4" s="50">
        <v>20000</v>
      </c>
      <c r="S4" s="50"/>
      <c r="T4" s="48"/>
      <c r="U4" s="48"/>
      <c r="V4" s="48"/>
      <c r="W4" s="49" t="s">
        <v>68</v>
      </c>
      <c r="X4" s="50">
        <f>R4</f>
        <v>20000</v>
      </c>
    </row>
    <row r="5" spans="2:35" x14ac:dyDescent="0.35">
      <c r="Q5" s="49" t="s">
        <v>69</v>
      </c>
      <c r="R5" s="47">
        <v>0.12</v>
      </c>
      <c r="S5" s="47"/>
      <c r="T5" s="48"/>
      <c r="U5" s="48"/>
      <c r="V5" s="48"/>
      <c r="W5" s="49" t="s">
        <v>69</v>
      </c>
      <c r="X5" s="47">
        <f>R5</f>
        <v>0.12</v>
      </c>
    </row>
    <row r="6" spans="2:35" x14ac:dyDescent="0.35">
      <c r="Q6" s="49" t="s">
        <v>70</v>
      </c>
      <c r="R6" s="51">
        <f>5*12</f>
        <v>60</v>
      </c>
      <c r="S6" s="51"/>
      <c r="T6" s="48"/>
      <c r="U6" s="48"/>
      <c r="V6" s="48"/>
      <c r="W6" s="49" t="s">
        <v>70</v>
      </c>
      <c r="X6" s="51">
        <f>R6</f>
        <v>60</v>
      </c>
    </row>
    <row r="7" spans="2:35" x14ac:dyDescent="0.35">
      <c r="Q7" s="49" t="s">
        <v>71</v>
      </c>
      <c r="R7" s="52">
        <f>-PMT(R5/12,R6,R4,,0)</f>
        <v>444.88895369803549</v>
      </c>
      <c r="S7" s="52"/>
      <c r="T7" s="53"/>
      <c r="U7" s="48"/>
      <c r="V7" s="48"/>
      <c r="W7" s="49" t="s">
        <v>71</v>
      </c>
      <c r="X7" s="54">
        <f>-PMT(X5/12,X6,X4,,0)</f>
        <v>444.88895369803549</v>
      </c>
    </row>
    <row r="9" spans="2:35" x14ac:dyDescent="0.35">
      <c r="Q9" s="55" t="s">
        <v>72</v>
      </c>
      <c r="R9" s="55"/>
      <c r="S9" s="55"/>
      <c r="T9" s="55"/>
      <c r="U9" s="55"/>
      <c r="W9" s="56" t="s">
        <v>73</v>
      </c>
      <c r="X9" s="56"/>
      <c r="Y9" s="56"/>
      <c r="Z9" s="56"/>
      <c r="AA9" s="56"/>
    </row>
    <row r="10" spans="2:35" ht="29" x14ac:dyDescent="0.35">
      <c r="Q10" s="57" t="s">
        <v>74</v>
      </c>
      <c r="R10" s="57" t="s">
        <v>75</v>
      </c>
      <c r="S10" s="57" t="s">
        <v>76</v>
      </c>
      <c r="T10" s="57" t="s">
        <v>77</v>
      </c>
      <c r="U10" s="57" t="s">
        <v>78</v>
      </c>
      <c r="W10" s="57" t="s">
        <v>74</v>
      </c>
      <c r="X10" s="57" t="s">
        <v>75</v>
      </c>
      <c r="Y10" s="57" t="s">
        <v>76</v>
      </c>
      <c r="Z10" s="57" t="s">
        <v>77</v>
      </c>
      <c r="AA10" s="57" t="s">
        <v>78</v>
      </c>
    </row>
    <row r="11" spans="2:35" x14ac:dyDescent="0.35">
      <c r="B11" t="s">
        <v>79</v>
      </c>
      <c r="C11" s="58">
        <v>0.25</v>
      </c>
      <c r="G11" t="s">
        <v>80</v>
      </c>
      <c r="H11" s="59">
        <v>10000</v>
      </c>
      <c r="L11" s="48" t="s">
        <v>81</v>
      </c>
      <c r="M11" s="60">
        <f>'# 3'!C15</f>
        <v>2500</v>
      </c>
      <c r="Q11" s="61"/>
      <c r="R11" s="62"/>
      <c r="S11" s="62"/>
      <c r="T11" s="62"/>
      <c r="U11" s="63">
        <f>R4</f>
        <v>20000</v>
      </c>
      <c r="W11" s="61"/>
      <c r="X11" s="62"/>
      <c r="Y11" s="62"/>
      <c r="Z11" s="62"/>
      <c r="AA11" s="63">
        <f>X4</f>
        <v>20000</v>
      </c>
      <c r="AE11" t="s">
        <v>82</v>
      </c>
      <c r="AH11" t="s">
        <v>83</v>
      </c>
    </row>
    <row r="12" spans="2:35" x14ac:dyDescent="0.35">
      <c r="G12" s="64" t="s">
        <v>84</v>
      </c>
      <c r="H12" s="65">
        <v>-500</v>
      </c>
      <c r="L12" s="66" t="s">
        <v>85</v>
      </c>
      <c r="Q12" s="67">
        <v>44592</v>
      </c>
      <c r="R12" s="63">
        <f t="shared" ref="R12:R23" si="0">$R$7</f>
        <v>444.88895369803549</v>
      </c>
      <c r="S12" s="63">
        <f t="shared" ref="S12:S23" si="1">R12-T12</f>
        <v>244.88895369803549</v>
      </c>
      <c r="T12" s="63">
        <f t="shared" ref="T12:T23" si="2">U11*($R$5/12)</f>
        <v>200</v>
      </c>
      <c r="U12" s="63">
        <f t="shared" ref="U12:U23" si="3">U11-S12</f>
        <v>19755.111046301965</v>
      </c>
      <c r="W12" s="67">
        <v>44592</v>
      </c>
      <c r="X12" s="63">
        <f t="shared" ref="X12:X69" si="4">$X$7</f>
        <v>444.88895369803549</v>
      </c>
      <c r="Y12" s="63">
        <f t="shared" ref="Y12:Y70" si="5">X12-Z12</f>
        <v>244.88895369803549</v>
      </c>
      <c r="Z12" s="63">
        <f t="shared" ref="Z12:Z23" si="6">AA11*($X$5/12)</f>
        <v>200</v>
      </c>
      <c r="AA12" s="63">
        <f t="shared" ref="AA12:AA70" si="7">ROUND(AA11-Y12,2)</f>
        <v>19755.11</v>
      </c>
    </row>
    <row r="13" spans="2:35" x14ac:dyDescent="0.35">
      <c r="B13" t="s">
        <v>80</v>
      </c>
      <c r="C13" s="63">
        <v>10000</v>
      </c>
      <c r="G13" t="s">
        <v>86</v>
      </c>
      <c r="H13" s="59">
        <f>SUM(H11:H12)</f>
        <v>9500</v>
      </c>
      <c r="L13" s="48"/>
      <c r="Q13" s="67">
        <f t="shared" ref="Q13:Q23" si="8">EOMONTH(Q12,1)</f>
        <v>44620</v>
      </c>
      <c r="R13" s="63">
        <f t="shared" si="0"/>
        <v>444.88895369803549</v>
      </c>
      <c r="S13" s="63">
        <f t="shared" si="1"/>
        <v>247.33784323501584</v>
      </c>
      <c r="T13" s="63">
        <f t="shared" si="2"/>
        <v>197.55111046301965</v>
      </c>
      <c r="U13" s="63">
        <f t="shared" si="3"/>
        <v>19507.77320306695</v>
      </c>
      <c r="V13" s="68"/>
      <c r="W13" s="67">
        <f t="shared" ref="W13:W23" si="9">EOMONTH(W12,1)</f>
        <v>44620</v>
      </c>
      <c r="X13" s="63">
        <f t="shared" si="4"/>
        <v>444.88895369803549</v>
      </c>
      <c r="Y13" s="63">
        <f t="shared" si="5"/>
        <v>247.33785369803547</v>
      </c>
      <c r="Z13" s="63">
        <f t="shared" si="6"/>
        <v>197.55110000000002</v>
      </c>
      <c r="AA13" s="63">
        <f t="shared" si="7"/>
        <v>19507.77</v>
      </c>
      <c r="AE13" t="s">
        <v>79</v>
      </c>
      <c r="AF13" s="58">
        <v>0.05</v>
      </c>
      <c r="AH13" t="s">
        <v>79</v>
      </c>
      <c r="AI13" s="58">
        <v>0.15</v>
      </c>
    </row>
    <row r="14" spans="2:35" x14ac:dyDescent="0.35">
      <c r="B14" s="64" t="s">
        <v>87</v>
      </c>
      <c r="C14" s="69">
        <f>+C11</f>
        <v>0.25</v>
      </c>
      <c r="H14" s="59"/>
      <c r="L14" s="48" t="s">
        <v>88</v>
      </c>
      <c r="Q14" s="67">
        <f t="shared" si="8"/>
        <v>44651</v>
      </c>
      <c r="R14" s="63">
        <f t="shared" si="0"/>
        <v>444.88895369803549</v>
      </c>
      <c r="S14" s="63">
        <f t="shared" si="1"/>
        <v>249.811221667366</v>
      </c>
      <c r="T14" s="63">
        <f t="shared" si="2"/>
        <v>195.07773203066949</v>
      </c>
      <c r="U14" s="63">
        <f t="shared" si="3"/>
        <v>19257.961981399585</v>
      </c>
      <c r="W14" s="67">
        <f t="shared" si="9"/>
        <v>44651</v>
      </c>
      <c r="X14" s="63">
        <f t="shared" si="4"/>
        <v>444.88895369803549</v>
      </c>
      <c r="Y14" s="63">
        <f t="shared" si="5"/>
        <v>249.81125369803547</v>
      </c>
      <c r="Z14" s="63">
        <f t="shared" si="6"/>
        <v>195.07770000000002</v>
      </c>
      <c r="AA14" s="63">
        <f t="shared" si="7"/>
        <v>19257.96</v>
      </c>
    </row>
    <row r="15" spans="2:35" x14ac:dyDescent="0.35">
      <c r="B15" t="s">
        <v>89</v>
      </c>
      <c r="C15" s="63">
        <f>+C13*C14</f>
        <v>2500</v>
      </c>
      <c r="G15" t="s">
        <v>80</v>
      </c>
      <c r="H15" s="59">
        <v>10000</v>
      </c>
      <c r="L15" t="s">
        <v>90</v>
      </c>
      <c r="M15" s="63">
        <v>10000</v>
      </c>
      <c r="Q15" s="67">
        <f t="shared" si="8"/>
        <v>44681</v>
      </c>
      <c r="R15" s="63">
        <f t="shared" si="0"/>
        <v>444.88895369803549</v>
      </c>
      <c r="S15" s="63">
        <f t="shared" si="1"/>
        <v>252.30933388403963</v>
      </c>
      <c r="T15" s="63">
        <f t="shared" si="2"/>
        <v>192.57961981399586</v>
      </c>
      <c r="U15" s="63">
        <f t="shared" si="3"/>
        <v>19005.652647515544</v>
      </c>
      <c r="W15" s="67">
        <f t="shared" si="9"/>
        <v>44681</v>
      </c>
      <c r="X15" s="63">
        <f t="shared" si="4"/>
        <v>444.88895369803549</v>
      </c>
      <c r="Y15" s="63">
        <f t="shared" si="5"/>
        <v>252.30935369803549</v>
      </c>
      <c r="Z15" s="63">
        <f t="shared" si="6"/>
        <v>192.5796</v>
      </c>
      <c r="AA15" s="63">
        <f t="shared" si="7"/>
        <v>19005.650000000001</v>
      </c>
      <c r="AE15" t="s">
        <v>91</v>
      </c>
      <c r="AF15" s="63">
        <v>10000</v>
      </c>
      <c r="AH15" t="s">
        <v>91</v>
      </c>
      <c r="AI15" s="63">
        <v>10000</v>
      </c>
    </row>
    <row r="16" spans="2:35" x14ac:dyDescent="0.35">
      <c r="G16" t="s">
        <v>84</v>
      </c>
      <c r="H16" s="59">
        <v>-500</v>
      </c>
      <c r="L16" s="64" t="s">
        <v>92</v>
      </c>
      <c r="M16" s="69">
        <v>0.1</v>
      </c>
      <c r="Q16" s="67">
        <f t="shared" si="8"/>
        <v>44712</v>
      </c>
      <c r="R16" s="63">
        <f t="shared" si="0"/>
        <v>444.88895369803549</v>
      </c>
      <c r="S16" s="63">
        <f t="shared" si="1"/>
        <v>254.83242722288006</v>
      </c>
      <c r="T16" s="63">
        <f t="shared" si="2"/>
        <v>190.05652647515544</v>
      </c>
      <c r="U16" s="63">
        <f t="shared" si="3"/>
        <v>18750.820220292666</v>
      </c>
      <c r="W16" s="67">
        <f t="shared" si="9"/>
        <v>44712</v>
      </c>
      <c r="X16" s="63">
        <f t="shared" si="4"/>
        <v>444.88895369803549</v>
      </c>
      <c r="Y16" s="63">
        <f t="shared" si="5"/>
        <v>254.83245369803547</v>
      </c>
      <c r="Z16" s="63">
        <f t="shared" si="6"/>
        <v>190.05650000000003</v>
      </c>
      <c r="AA16" s="63">
        <f t="shared" si="7"/>
        <v>18750.82</v>
      </c>
      <c r="AE16" s="64" t="s">
        <v>87</v>
      </c>
      <c r="AF16" s="69">
        <f>+AF13</f>
        <v>0.05</v>
      </c>
      <c r="AH16" s="64" t="s">
        <v>87</v>
      </c>
      <c r="AI16" s="69">
        <f>+AI13</f>
        <v>0.15</v>
      </c>
    </row>
    <row r="17" spans="2:35" x14ac:dyDescent="0.35">
      <c r="B17" t="str">
        <f>B15</f>
        <v>Annual Interest Charged</v>
      </c>
      <c r="C17" s="63">
        <f>+C15</f>
        <v>2500</v>
      </c>
      <c r="G17" s="64" t="s">
        <v>93</v>
      </c>
      <c r="H17" s="65">
        <f>'# 3'!C19</f>
        <v>208.33333333333334</v>
      </c>
      <c r="L17" t="s">
        <v>94</v>
      </c>
      <c r="M17" s="63">
        <f>+M15*M16</f>
        <v>1000</v>
      </c>
      <c r="Q17" s="67">
        <f t="shared" si="8"/>
        <v>44742</v>
      </c>
      <c r="R17" s="63">
        <f t="shared" si="0"/>
        <v>444.88895369803549</v>
      </c>
      <c r="S17" s="63">
        <f t="shared" si="1"/>
        <v>257.38075149510883</v>
      </c>
      <c r="T17" s="63">
        <f t="shared" si="2"/>
        <v>187.50820220292667</v>
      </c>
      <c r="U17" s="63">
        <f t="shared" si="3"/>
        <v>18493.439468797558</v>
      </c>
      <c r="W17" s="67">
        <f t="shared" si="9"/>
        <v>44742</v>
      </c>
      <c r="X17" s="63">
        <f t="shared" si="4"/>
        <v>444.88895369803549</v>
      </c>
      <c r="Y17" s="63">
        <f t="shared" si="5"/>
        <v>257.38075369803551</v>
      </c>
      <c r="Z17" s="63">
        <f t="shared" si="6"/>
        <v>187.50819999999999</v>
      </c>
      <c r="AA17" s="63">
        <f t="shared" si="7"/>
        <v>18493.439999999999</v>
      </c>
      <c r="AE17" t="s">
        <v>89</v>
      </c>
      <c r="AF17" s="63">
        <f>+AF15*AF16</f>
        <v>500</v>
      </c>
      <c r="AH17" t="s">
        <v>89</v>
      </c>
      <c r="AI17" s="63">
        <f>+AI15*AI16</f>
        <v>1500</v>
      </c>
    </row>
    <row r="18" spans="2:35" x14ac:dyDescent="0.35">
      <c r="B18" s="64" t="s">
        <v>95</v>
      </c>
      <c r="C18" s="70">
        <v>12</v>
      </c>
      <c r="G18" t="s">
        <v>96</v>
      </c>
      <c r="H18" s="59">
        <f>SUM(H15:H17)</f>
        <v>9708.3333333333339</v>
      </c>
      <c r="L18" s="48"/>
      <c r="M18" s="63"/>
      <c r="Q18" s="67">
        <f t="shared" si="8"/>
        <v>44773</v>
      </c>
      <c r="R18" s="63">
        <f t="shared" si="0"/>
        <v>444.88895369803549</v>
      </c>
      <c r="S18" s="63">
        <f t="shared" si="1"/>
        <v>259.95455901005994</v>
      </c>
      <c r="T18" s="63">
        <f t="shared" si="2"/>
        <v>184.93439468797558</v>
      </c>
      <c r="U18" s="63">
        <f t="shared" si="3"/>
        <v>18233.484909787498</v>
      </c>
      <c r="W18" s="67">
        <f t="shared" si="9"/>
        <v>44773</v>
      </c>
      <c r="X18" s="63">
        <f t="shared" si="4"/>
        <v>444.88895369803549</v>
      </c>
      <c r="Y18" s="63">
        <f t="shared" si="5"/>
        <v>259.95455369803551</v>
      </c>
      <c r="Z18" s="63">
        <f t="shared" si="6"/>
        <v>184.93439999999998</v>
      </c>
      <c r="AA18" s="63">
        <f t="shared" si="7"/>
        <v>18233.490000000002</v>
      </c>
      <c r="AF18" s="63"/>
      <c r="AI18" s="63"/>
    </row>
    <row r="19" spans="2:35" x14ac:dyDescent="0.35">
      <c r="B19" t="s">
        <v>93</v>
      </c>
      <c r="C19" s="63">
        <f>IFERROR(C17/C18,0)</f>
        <v>208.33333333333334</v>
      </c>
      <c r="H19" s="59"/>
      <c r="L19" s="71" t="s">
        <v>97</v>
      </c>
      <c r="M19" s="72">
        <f>M17-M11</f>
        <v>-1500</v>
      </c>
      <c r="Q19" s="67">
        <f t="shared" si="8"/>
        <v>44804</v>
      </c>
      <c r="R19" s="63">
        <f t="shared" si="0"/>
        <v>444.88895369803549</v>
      </c>
      <c r="S19" s="63">
        <f t="shared" si="1"/>
        <v>262.55410460016049</v>
      </c>
      <c r="T19" s="63">
        <f t="shared" si="2"/>
        <v>182.33484909787498</v>
      </c>
      <c r="U19" s="63">
        <f t="shared" si="3"/>
        <v>17970.930805187338</v>
      </c>
      <c r="W19" s="67">
        <f t="shared" si="9"/>
        <v>44804</v>
      </c>
      <c r="X19" s="63">
        <f t="shared" si="4"/>
        <v>444.88895369803549</v>
      </c>
      <c r="Y19" s="63">
        <f t="shared" si="5"/>
        <v>262.55405369803543</v>
      </c>
      <c r="Z19" s="63">
        <f t="shared" si="6"/>
        <v>182.33490000000003</v>
      </c>
      <c r="AA19" s="63">
        <f t="shared" si="7"/>
        <v>17970.939999999999</v>
      </c>
      <c r="AE19" s="48" t="s">
        <v>88</v>
      </c>
      <c r="AH19" s="48" t="s">
        <v>88</v>
      </c>
    </row>
    <row r="20" spans="2:35" x14ac:dyDescent="0.35">
      <c r="G20" t="s">
        <v>86</v>
      </c>
      <c r="H20" s="59">
        <f>H13</f>
        <v>9500</v>
      </c>
      <c r="Q20" s="67">
        <f t="shared" si="8"/>
        <v>44834</v>
      </c>
      <c r="R20" s="63">
        <f t="shared" si="0"/>
        <v>444.88895369803549</v>
      </c>
      <c r="S20" s="63">
        <f t="shared" si="1"/>
        <v>265.1796456461621</v>
      </c>
      <c r="T20" s="63">
        <f t="shared" si="2"/>
        <v>179.70930805187339</v>
      </c>
      <c r="U20" s="63">
        <f t="shared" si="3"/>
        <v>17705.751159541174</v>
      </c>
      <c r="W20" s="67">
        <f t="shared" si="9"/>
        <v>44834</v>
      </c>
      <c r="X20" s="63">
        <f t="shared" si="4"/>
        <v>444.88895369803549</v>
      </c>
      <c r="Y20" s="63">
        <f t="shared" si="5"/>
        <v>265.17955369803553</v>
      </c>
      <c r="Z20" s="63">
        <f t="shared" si="6"/>
        <v>179.70939999999999</v>
      </c>
      <c r="AA20" s="63">
        <f t="shared" si="7"/>
        <v>17705.759999999998</v>
      </c>
      <c r="AE20" t="s">
        <v>90</v>
      </c>
      <c r="AF20" s="63">
        <v>10000</v>
      </c>
      <c r="AH20" t="s">
        <v>90</v>
      </c>
      <c r="AI20" s="63">
        <v>10000</v>
      </c>
    </row>
    <row r="21" spans="2:35" x14ac:dyDescent="0.35">
      <c r="G21" s="64" t="s">
        <v>96</v>
      </c>
      <c r="H21" s="65">
        <f>H18</f>
        <v>9708.3333333333339</v>
      </c>
      <c r="L21" s="66" t="s">
        <v>98</v>
      </c>
      <c r="Q21" s="67">
        <f t="shared" si="8"/>
        <v>44865</v>
      </c>
      <c r="R21" s="63">
        <f t="shared" si="0"/>
        <v>444.88895369803549</v>
      </c>
      <c r="S21" s="63">
        <f t="shared" si="1"/>
        <v>267.83144210262378</v>
      </c>
      <c r="T21" s="63">
        <f t="shared" si="2"/>
        <v>177.05751159541174</v>
      </c>
      <c r="U21" s="63">
        <f t="shared" si="3"/>
        <v>17437.919717438552</v>
      </c>
      <c r="W21" s="67">
        <f t="shared" si="9"/>
        <v>44865</v>
      </c>
      <c r="X21" s="63">
        <f t="shared" si="4"/>
        <v>444.88895369803549</v>
      </c>
      <c r="Y21" s="63">
        <f t="shared" si="5"/>
        <v>267.83135369803551</v>
      </c>
      <c r="Z21" s="63">
        <f t="shared" si="6"/>
        <v>177.05759999999998</v>
      </c>
      <c r="AA21" s="63">
        <f t="shared" si="7"/>
        <v>17437.93</v>
      </c>
      <c r="AE21" s="64" t="s">
        <v>92</v>
      </c>
      <c r="AF21" s="69">
        <v>0.1</v>
      </c>
      <c r="AH21" s="64" t="s">
        <v>92</v>
      </c>
      <c r="AI21" s="69">
        <v>0.1</v>
      </c>
    </row>
    <row r="22" spans="2:35" x14ac:dyDescent="0.35">
      <c r="G22" s="71" t="s">
        <v>99</v>
      </c>
      <c r="H22" s="72">
        <f>H18-H13</f>
        <v>208.33333333333394</v>
      </c>
      <c r="Q22" s="67">
        <f t="shared" si="8"/>
        <v>44895</v>
      </c>
      <c r="R22" s="63">
        <f t="shared" si="0"/>
        <v>444.88895369803549</v>
      </c>
      <c r="S22" s="63">
        <f t="shared" si="1"/>
        <v>270.50975652364997</v>
      </c>
      <c r="T22" s="63">
        <f t="shared" si="2"/>
        <v>174.37919717438552</v>
      </c>
      <c r="U22" s="63">
        <f t="shared" si="3"/>
        <v>17167.409960914902</v>
      </c>
      <c r="W22" s="67">
        <f t="shared" si="9"/>
        <v>44895</v>
      </c>
      <c r="X22" s="63">
        <f t="shared" si="4"/>
        <v>444.88895369803549</v>
      </c>
      <c r="Y22" s="63">
        <f t="shared" si="5"/>
        <v>270.50965369803549</v>
      </c>
      <c r="Z22" s="63">
        <f t="shared" si="6"/>
        <v>174.3793</v>
      </c>
      <c r="AA22" s="63">
        <f t="shared" si="7"/>
        <v>17167.419999999998</v>
      </c>
      <c r="AE22" t="s">
        <v>94</v>
      </c>
      <c r="AF22" s="63">
        <f>+AF20*AF21</f>
        <v>1000</v>
      </c>
      <c r="AH22" t="s">
        <v>94</v>
      </c>
      <c r="AI22" s="63">
        <f>+AI20*AI21</f>
        <v>1000</v>
      </c>
    </row>
    <row r="23" spans="2:35" x14ac:dyDescent="0.35">
      <c r="Q23" s="67">
        <f t="shared" si="8"/>
        <v>44926</v>
      </c>
      <c r="R23" s="63">
        <f t="shared" si="0"/>
        <v>444.88895369803549</v>
      </c>
      <c r="S23" s="63">
        <f t="shared" si="1"/>
        <v>273.21485408888645</v>
      </c>
      <c r="T23" s="63">
        <f t="shared" si="2"/>
        <v>171.67409960914901</v>
      </c>
      <c r="U23" s="63">
        <f t="shared" si="3"/>
        <v>16894.195106826017</v>
      </c>
      <c r="W23" s="67">
        <f t="shared" si="9"/>
        <v>44926</v>
      </c>
      <c r="X23" s="63">
        <f t="shared" si="4"/>
        <v>444.88895369803549</v>
      </c>
      <c r="Y23" s="63">
        <f t="shared" si="5"/>
        <v>273.21475369803551</v>
      </c>
      <c r="Z23" s="63">
        <f t="shared" si="6"/>
        <v>171.67419999999998</v>
      </c>
      <c r="AA23" s="63">
        <f t="shared" si="7"/>
        <v>16894.21</v>
      </c>
      <c r="AE23" s="48"/>
      <c r="AF23" s="63"/>
      <c r="AH23" s="48"/>
      <c r="AI23" s="63"/>
    </row>
    <row r="24" spans="2:35" x14ac:dyDescent="0.35">
      <c r="Q24" s="67"/>
      <c r="R24" s="63"/>
      <c r="S24" s="63"/>
      <c r="T24" s="63"/>
      <c r="U24" s="63"/>
      <c r="W24" s="73" t="s">
        <v>100</v>
      </c>
      <c r="X24" s="74">
        <f t="shared" si="4"/>
        <v>444.88895369803549</v>
      </c>
      <c r="Y24" s="74">
        <f t="shared" si="5"/>
        <v>444.88895369803549</v>
      </c>
      <c r="Z24" s="74"/>
      <c r="AA24" s="75">
        <f t="shared" si="7"/>
        <v>16449.32</v>
      </c>
      <c r="AE24" s="71" t="s">
        <v>97</v>
      </c>
      <c r="AF24" s="72">
        <f>AF22-AF17</f>
        <v>500</v>
      </c>
      <c r="AH24" s="71" t="s">
        <v>97</v>
      </c>
      <c r="AI24" s="72">
        <f>AI22-AI17</f>
        <v>-500</v>
      </c>
    </row>
    <row r="25" spans="2:35" x14ac:dyDescent="0.35">
      <c r="Q25" s="67">
        <f>EOMONTH(Q23,1)</f>
        <v>44957</v>
      </c>
      <c r="R25" s="63">
        <f t="shared" ref="R25:R36" si="10">$R$7</f>
        <v>444.88895369803549</v>
      </c>
      <c r="S25" s="63">
        <f t="shared" ref="S25:S36" si="11">R25-T25</f>
        <v>275.94700262977528</v>
      </c>
      <c r="T25" s="63">
        <f>U23*($R$5/12)</f>
        <v>168.94195106826018</v>
      </c>
      <c r="U25" s="63">
        <f>U23-S25</f>
        <v>16618.248104196242</v>
      </c>
      <c r="W25" s="67">
        <f>EOMONTH(W23,1)</f>
        <v>44957</v>
      </c>
      <c r="X25" s="63">
        <f t="shared" si="4"/>
        <v>444.88895369803549</v>
      </c>
      <c r="Y25" s="63">
        <f t="shared" si="5"/>
        <v>275.94685369803551</v>
      </c>
      <c r="Z25" s="63">
        <f>AA23*($X$5/12)</f>
        <v>168.94209999999998</v>
      </c>
      <c r="AA25" s="63">
        <f t="shared" si="7"/>
        <v>16173.37</v>
      </c>
      <c r="AE25" s="48"/>
    </row>
    <row r="26" spans="2:35" x14ac:dyDescent="0.35">
      <c r="Q26" s="67">
        <f t="shared" ref="Q26:Q36" si="12">EOMONTH(Q25,1)</f>
        <v>44985</v>
      </c>
      <c r="R26" s="63">
        <f t="shared" si="10"/>
        <v>444.88895369803549</v>
      </c>
      <c r="S26" s="63">
        <f t="shared" si="11"/>
        <v>278.70647265607306</v>
      </c>
      <c r="T26" s="63">
        <f t="shared" ref="T26:T36" si="13">U25*($R$5/12)</f>
        <v>166.18248104196243</v>
      </c>
      <c r="U26" s="63">
        <f t="shared" ref="U26:U36" si="14">U25-S26</f>
        <v>16339.541631540169</v>
      </c>
      <c r="W26" s="67">
        <f t="shared" ref="W26:W36" si="15">EOMONTH(W25,1)</f>
        <v>44985</v>
      </c>
      <c r="X26" s="63">
        <f t="shared" si="4"/>
        <v>444.88895369803549</v>
      </c>
      <c r="Y26" s="63">
        <f t="shared" si="5"/>
        <v>283.15525369803549</v>
      </c>
      <c r="Z26" s="63">
        <f t="shared" ref="Z26:Z36" si="16">AA25*($X$5/12)</f>
        <v>161.7337</v>
      </c>
      <c r="AA26" s="63">
        <f t="shared" si="7"/>
        <v>15890.21</v>
      </c>
      <c r="AE26" s="66" t="s">
        <v>98</v>
      </c>
    </row>
    <row r="27" spans="2:35" x14ac:dyDescent="0.35">
      <c r="Q27" s="67">
        <f t="shared" si="12"/>
        <v>45016</v>
      </c>
      <c r="R27" s="63">
        <f t="shared" si="10"/>
        <v>444.88895369803549</v>
      </c>
      <c r="S27" s="63">
        <f t="shared" si="11"/>
        <v>281.4935373826338</v>
      </c>
      <c r="T27" s="63">
        <f t="shared" si="13"/>
        <v>163.39541631540169</v>
      </c>
      <c r="U27" s="63">
        <f t="shared" si="14"/>
        <v>16058.048094157535</v>
      </c>
      <c r="W27" s="67">
        <f t="shared" si="15"/>
        <v>45016</v>
      </c>
      <c r="X27" s="63">
        <f t="shared" si="4"/>
        <v>444.88895369803549</v>
      </c>
      <c r="Y27" s="63">
        <f t="shared" si="5"/>
        <v>285.98685369803547</v>
      </c>
      <c r="Z27" s="63">
        <f t="shared" si="16"/>
        <v>158.90209999999999</v>
      </c>
      <c r="AA27" s="63">
        <f t="shared" si="7"/>
        <v>15604.22</v>
      </c>
    </row>
    <row r="28" spans="2:35" x14ac:dyDescent="0.35">
      <c r="Q28" s="67">
        <f t="shared" si="12"/>
        <v>45046</v>
      </c>
      <c r="R28" s="63">
        <f t="shared" si="10"/>
        <v>444.88895369803549</v>
      </c>
      <c r="S28" s="63">
        <f t="shared" si="11"/>
        <v>284.30847275646011</v>
      </c>
      <c r="T28" s="63">
        <f t="shared" si="13"/>
        <v>160.58048094157536</v>
      </c>
      <c r="U28" s="63">
        <f t="shared" si="14"/>
        <v>15773.739621401075</v>
      </c>
      <c r="W28" s="67">
        <f t="shared" si="15"/>
        <v>45046</v>
      </c>
      <c r="X28" s="63">
        <f t="shared" si="4"/>
        <v>444.88895369803549</v>
      </c>
      <c r="Y28" s="63">
        <f t="shared" si="5"/>
        <v>288.84675369803551</v>
      </c>
      <c r="Z28" s="63">
        <f t="shared" si="16"/>
        <v>156.04220000000001</v>
      </c>
      <c r="AA28" s="63">
        <f t="shared" si="7"/>
        <v>15315.37</v>
      </c>
    </row>
    <row r="29" spans="2:35" x14ac:dyDescent="0.35">
      <c r="Q29" s="67">
        <f t="shared" si="12"/>
        <v>45077</v>
      </c>
      <c r="R29" s="63">
        <f t="shared" si="10"/>
        <v>444.88895369803549</v>
      </c>
      <c r="S29" s="63">
        <f t="shared" si="11"/>
        <v>287.15155748402475</v>
      </c>
      <c r="T29" s="63">
        <f t="shared" si="13"/>
        <v>157.73739621401074</v>
      </c>
      <c r="U29" s="63">
        <f t="shared" si="14"/>
        <v>15486.58806391705</v>
      </c>
      <c r="W29" s="67">
        <f t="shared" si="15"/>
        <v>45077</v>
      </c>
      <c r="X29" s="63">
        <f t="shared" si="4"/>
        <v>444.88895369803549</v>
      </c>
      <c r="Y29" s="63">
        <f t="shared" si="5"/>
        <v>291.73525369803548</v>
      </c>
      <c r="Z29" s="63">
        <f t="shared" si="16"/>
        <v>153.15370000000001</v>
      </c>
      <c r="AA29" s="63">
        <f t="shared" si="7"/>
        <v>15023.63</v>
      </c>
    </row>
    <row r="30" spans="2:35" x14ac:dyDescent="0.35">
      <c r="Q30" s="67">
        <f t="shared" si="12"/>
        <v>45107</v>
      </c>
      <c r="R30" s="63">
        <f t="shared" si="10"/>
        <v>444.88895369803549</v>
      </c>
      <c r="S30" s="63">
        <f t="shared" si="11"/>
        <v>290.02307305886495</v>
      </c>
      <c r="T30" s="63">
        <f t="shared" si="13"/>
        <v>154.86588063917051</v>
      </c>
      <c r="U30" s="63">
        <f t="shared" si="14"/>
        <v>15196.564990858185</v>
      </c>
      <c r="W30" s="67">
        <f t="shared" si="15"/>
        <v>45107</v>
      </c>
      <c r="X30" s="63">
        <f t="shared" si="4"/>
        <v>444.88895369803549</v>
      </c>
      <c r="Y30" s="63">
        <f t="shared" si="5"/>
        <v>294.65265369803546</v>
      </c>
      <c r="Z30" s="63">
        <f t="shared" si="16"/>
        <v>150.2363</v>
      </c>
      <c r="AA30" s="63">
        <f t="shared" si="7"/>
        <v>14728.98</v>
      </c>
    </row>
    <row r="31" spans="2:35" x14ac:dyDescent="0.35">
      <c r="Q31" s="67">
        <f t="shared" si="12"/>
        <v>45138</v>
      </c>
      <c r="R31" s="63">
        <f t="shared" si="10"/>
        <v>444.88895369803549</v>
      </c>
      <c r="S31" s="63">
        <f t="shared" si="11"/>
        <v>292.9233037894536</v>
      </c>
      <c r="T31" s="63">
        <f t="shared" si="13"/>
        <v>151.96564990858187</v>
      </c>
      <c r="U31" s="63">
        <f t="shared" si="14"/>
        <v>14903.641687068732</v>
      </c>
      <c r="W31" s="67">
        <f t="shared" si="15"/>
        <v>45138</v>
      </c>
      <c r="X31" s="63">
        <f t="shared" si="4"/>
        <v>444.88895369803549</v>
      </c>
      <c r="Y31" s="63">
        <f t="shared" si="5"/>
        <v>297.59915369803548</v>
      </c>
      <c r="Z31" s="63">
        <f t="shared" si="16"/>
        <v>147.28979999999999</v>
      </c>
      <c r="AA31" s="63">
        <f t="shared" si="7"/>
        <v>14431.38</v>
      </c>
    </row>
    <row r="32" spans="2:35" x14ac:dyDescent="0.35">
      <c r="Q32" s="67">
        <f t="shared" si="12"/>
        <v>45169</v>
      </c>
      <c r="R32" s="63">
        <f t="shared" si="10"/>
        <v>444.88895369803549</v>
      </c>
      <c r="S32" s="63">
        <f t="shared" si="11"/>
        <v>295.85253682734816</v>
      </c>
      <c r="T32" s="63">
        <f t="shared" si="13"/>
        <v>149.03641687068733</v>
      </c>
      <c r="U32" s="63">
        <f t="shared" si="14"/>
        <v>14607.789150241384</v>
      </c>
      <c r="W32" s="67">
        <f t="shared" si="15"/>
        <v>45169</v>
      </c>
      <c r="X32" s="63">
        <f t="shared" si="4"/>
        <v>444.88895369803549</v>
      </c>
      <c r="Y32" s="63">
        <f t="shared" si="5"/>
        <v>300.57515369803548</v>
      </c>
      <c r="Z32" s="63">
        <f t="shared" si="16"/>
        <v>144.31379999999999</v>
      </c>
      <c r="AA32" s="63">
        <f t="shared" si="7"/>
        <v>14130.8</v>
      </c>
    </row>
    <row r="33" spans="17:27" x14ac:dyDescent="0.35">
      <c r="Q33" s="67">
        <f t="shared" si="12"/>
        <v>45199</v>
      </c>
      <c r="R33" s="63">
        <f t="shared" si="10"/>
        <v>444.88895369803549</v>
      </c>
      <c r="S33" s="63">
        <f t="shared" si="11"/>
        <v>298.81106219562162</v>
      </c>
      <c r="T33" s="63">
        <f t="shared" si="13"/>
        <v>146.07789150241385</v>
      </c>
      <c r="U33" s="63">
        <f t="shared" si="14"/>
        <v>14308.978088045762</v>
      </c>
      <c r="W33" s="67">
        <f t="shared" si="15"/>
        <v>45199</v>
      </c>
      <c r="X33" s="63">
        <f t="shared" si="4"/>
        <v>444.88895369803549</v>
      </c>
      <c r="Y33" s="63">
        <f t="shared" si="5"/>
        <v>303.5809536980355</v>
      </c>
      <c r="Z33" s="63">
        <f t="shared" si="16"/>
        <v>141.30799999999999</v>
      </c>
      <c r="AA33" s="63">
        <f t="shared" si="7"/>
        <v>13827.22</v>
      </c>
    </row>
    <row r="34" spans="17:27" x14ac:dyDescent="0.35">
      <c r="Q34" s="67">
        <f t="shared" si="12"/>
        <v>45230</v>
      </c>
      <c r="R34" s="63">
        <f t="shared" si="10"/>
        <v>444.88895369803549</v>
      </c>
      <c r="S34" s="63">
        <f t="shared" si="11"/>
        <v>301.79917281757787</v>
      </c>
      <c r="T34" s="63">
        <f t="shared" si="13"/>
        <v>143.08978088045762</v>
      </c>
      <c r="U34" s="63">
        <f t="shared" si="14"/>
        <v>14007.178915228184</v>
      </c>
      <c r="W34" s="67">
        <f t="shared" si="15"/>
        <v>45230</v>
      </c>
      <c r="X34" s="63">
        <f t="shared" si="4"/>
        <v>444.88895369803549</v>
      </c>
      <c r="Y34" s="63">
        <f t="shared" si="5"/>
        <v>306.6167536980355</v>
      </c>
      <c r="Z34" s="63">
        <f t="shared" si="16"/>
        <v>138.2722</v>
      </c>
      <c r="AA34" s="63">
        <f t="shared" si="7"/>
        <v>13520.6</v>
      </c>
    </row>
    <row r="35" spans="17:27" x14ac:dyDescent="0.35">
      <c r="Q35" s="67">
        <f t="shared" si="12"/>
        <v>45260</v>
      </c>
      <c r="R35" s="63">
        <f t="shared" si="10"/>
        <v>444.88895369803549</v>
      </c>
      <c r="S35" s="63">
        <f t="shared" si="11"/>
        <v>304.81716454575366</v>
      </c>
      <c r="T35" s="63">
        <f t="shared" si="13"/>
        <v>140.07178915228184</v>
      </c>
      <c r="U35" s="63">
        <f t="shared" si="14"/>
        <v>13702.36175068243</v>
      </c>
      <c r="W35" s="67">
        <f t="shared" si="15"/>
        <v>45260</v>
      </c>
      <c r="X35" s="63">
        <f t="shared" si="4"/>
        <v>444.88895369803549</v>
      </c>
      <c r="Y35" s="63">
        <f t="shared" si="5"/>
        <v>309.68295369803548</v>
      </c>
      <c r="Z35" s="63">
        <f t="shared" si="16"/>
        <v>135.20600000000002</v>
      </c>
      <c r="AA35" s="63">
        <f t="shared" si="7"/>
        <v>13210.92</v>
      </c>
    </row>
    <row r="36" spans="17:27" x14ac:dyDescent="0.35">
      <c r="Q36" s="67">
        <f t="shared" si="12"/>
        <v>45291</v>
      </c>
      <c r="R36" s="63">
        <f t="shared" si="10"/>
        <v>444.88895369803549</v>
      </c>
      <c r="S36" s="63">
        <f t="shared" si="11"/>
        <v>307.86533619121121</v>
      </c>
      <c r="T36" s="63">
        <f t="shared" si="13"/>
        <v>137.02361750682431</v>
      </c>
      <c r="U36" s="63">
        <f t="shared" si="14"/>
        <v>13394.496414491219</v>
      </c>
      <c r="W36" s="67">
        <f t="shared" si="15"/>
        <v>45291</v>
      </c>
      <c r="X36" s="63">
        <f t="shared" si="4"/>
        <v>444.88895369803549</v>
      </c>
      <c r="Y36" s="63">
        <f t="shared" si="5"/>
        <v>312.77975369803551</v>
      </c>
      <c r="Z36" s="63">
        <f t="shared" si="16"/>
        <v>132.10920000000002</v>
      </c>
      <c r="AA36" s="63">
        <f t="shared" si="7"/>
        <v>12898.14</v>
      </c>
    </row>
    <row r="37" spans="17:27" x14ac:dyDescent="0.35">
      <c r="Q37" s="67"/>
      <c r="R37" s="63"/>
      <c r="S37" s="63"/>
      <c r="T37" s="63"/>
      <c r="U37" s="63"/>
      <c r="W37" s="73" t="s">
        <v>100</v>
      </c>
      <c r="X37" s="74">
        <f t="shared" si="4"/>
        <v>444.88895369803549</v>
      </c>
      <c r="Y37" s="74">
        <f t="shared" si="5"/>
        <v>444.88895369803549</v>
      </c>
      <c r="Z37" s="74"/>
      <c r="AA37" s="75">
        <f t="shared" si="7"/>
        <v>12453.25</v>
      </c>
    </row>
    <row r="38" spans="17:27" x14ac:dyDescent="0.35">
      <c r="Q38" s="67">
        <f>EOMONTH(Q36,1)</f>
        <v>45322</v>
      </c>
      <c r="R38" s="63">
        <f t="shared" ref="R38:R49" si="17">$R$7</f>
        <v>444.88895369803549</v>
      </c>
      <c r="S38" s="63">
        <f t="shared" ref="S38:S49" si="18">R38-T38</f>
        <v>310.94398955312329</v>
      </c>
      <c r="T38" s="63">
        <f>U36*($R$5/12)</f>
        <v>133.94496414491221</v>
      </c>
      <c r="U38" s="63">
        <f>U36-S38</f>
        <v>13083.552424938096</v>
      </c>
      <c r="W38" s="67">
        <f>EOMONTH(W36,1)</f>
        <v>45322</v>
      </c>
      <c r="X38" s="63">
        <f t="shared" si="4"/>
        <v>444.88895369803549</v>
      </c>
      <c r="Y38" s="63">
        <f t="shared" si="5"/>
        <v>315.90755369803549</v>
      </c>
      <c r="Z38" s="63">
        <f>AA36*($X$5/12)</f>
        <v>128.98140000000001</v>
      </c>
      <c r="AA38" s="63">
        <f t="shared" si="7"/>
        <v>12137.34</v>
      </c>
    </row>
    <row r="39" spans="17:27" x14ac:dyDescent="0.35">
      <c r="Q39" s="67">
        <f t="shared" ref="Q39:Q49" si="19">EOMONTH(Q38,1)</f>
        <v>45351</v>
      </c>
      <c r="R39" s="63">
        <f t="shared" si="17"/>
        <v>444.88895369803549</v>
      </c>
      <c r="S39" s="63">
        <f t="shared" si="18"/>
        <v>314.05342944865453</v>
      </c>
      <c r="T39" s="63">
        <f t="shared" ref="T39:T49" si="20">U38*($R$5/12)</f>
        <v>130.83552424938097</v>
      </c>
      <c r="U39" s="63">
        <f t="shared" ref="U39:U49" si="21">U38-S39</f>
        <v>12769.498995489441</v>
      </c>
      <c r="W39" s="67">
        <f t="shared" ref="W39:W49" si="22">EOMONTH(W38,1)</f>
        <v>45351</v>
      </c>
      <c r="X39" s="63">
        <f t="shared" si="4"/>
        <v>444.88895369803549</v>
      </c>
      <c r="Y39" s="63">
        <f t="shared" si="5"/>
        <v>323.51555369803549</v>
      </c>
      <c r="Z39" s="63">
        <f t="shared" ref="Z39:Z49" si="23">AA38*($X$5/12)</f>
        <v>121.3734</v>
      </c>
      <c r="AA39" s="63">
        <f t="shared" si="7"/>
        <v>11813.82</v>
      </c>
    </row>
    <row r="40" spans="17:27" x14ac:dyDescent="0.35">
      <c r="Q40" s="67">
        <f t="shared" si="19"/>
        <v>45382</v>
      </c>
      <c r="R40" s="63">
        <f t="shared" si="17"/>
        <v>444.88895369803549</v>
      </c>
      <c r="S40" s="63">
        <f t="shared" si="18"/>
        <v>317.19396374314107</v>
      </c>
      <c r="T40" s="63">
        <f t="shared" si="20"/>
        <v>127.69498995489441</v>
      </c>
      <c r="U40" s="63">
        <f t="shared" si="21"/>
        <v>12452.3050317463</v>
      </c>
      <c r="W40" s="67">
        <f t="shared" si="22"/>
        <v>45382</v>
      </c>
      <c r="X40" s="63">
        <f t="shared" si="4"/>
        <v>444.88895369803549</v>
      </c>
      <c r="Y40" s="63">
        <f t="shared" si="5"/>
        <v>326.75075369803551</v>
      </c>
      <c r="Z40" s="63">
        <f t="shared" si="23"/>
        <v>118.1382</v>
      </c>
      <c r="AA40" s="63">
        <f t="shared" si="7"/>
        <v>11487.07</v>
      </c>
    </row>
    <row r="41" spans="17:27" x14ac:dyDescent="0.35">
      <c r="Q41" s="67">
        <f t="shared" si="19"/>
        <v>45412</v>
      </c>
      <c r="R41" s="63">
        <f t="shared" si="17"/>
        <v>444.88895369803549</v>
      </c>
      <c r="S41" s="63">
        <f t="shared" si="18"/>
        <v>320.36590338057249</v>
      </c>
      <c r="T41" s="63">
        <f t="shared" si="20"/>
        <v>124.523050317463</v>
      </c>
      <c r="U41" s="63">
        <f t="shared" si="21"/>
        <v>12131.939128365728</v>
      </c>
      <c r="W41" s="67">
        <f t="shared" si="22"/>
        <v>45412</v>
      </c>
      <c r="X41" s="63">
        <f t="shared" si="4"/>
        <v>444.88895369803549</v>
      </c>
      <c r="Y41" s="63">
        <f t="shared" si="5"/>
        <v>330.01825369803549</v>
      </c>
      <c r="Z41" s="63">
        <f t="shared" si="23"/>
        <v>114.8707</v>
      </c>
      <c r="AA41" s="63">
        <f t="shared" si="7"/>
        <v>11157.05</v>
      </c>
    </row>
    <row r="42" spans="17:27" x14ac:dyDescent="0.35">
      <c r="Q42" s="67">
        <f t="shared" si="19"/>
        <v>45443</v>
      </c>
      <c r="R42" s="63">
        <f t="shared" si="17"/>
        <v>444.88895369803549</v>
      </c>
      <c r="S42" s="63">
        <f t="shared" si="18"/>
        <v>323.5695624143782</v>
      </c>
      <c r="T42" s="63">
        <f t="shared" si="20"/>
        <v>121.31939128365728</v>
      </c>
      <c r="U42" s="63">
        <f t="shared" si="21"/>
        <v>11808.369565951351</v>
      </c>
      <c r="W42" s="67">
        <f t="shared" si="22"/>
        <v>45443</v>
      </c>
      <c r="X42" s="63">
        <f t="shared" si="4"/>
        <v>444.88895369803549</v>
      </c>
      <c r="Y42" s="63">
        <f t="shared" si="5"/>
        <v>333.31845369803551</v>
      </c>
      <c r="Z42" s="63">
        <f t="shared" si="23"/>
        <v>111.5705</v>
      </c>
      <c r="AA42" s="63">
        <f t="shared" si="7"/>
        <v>10823.73</v>
      </c>
    </row>
    <row r="43" spans="17:27" x14ac:dyDescent="0.35">
      <c r="Q43" s="67">
        <f t="shared" si="19"/>
        <v>45473</v>
      </c>
      <c r="R43" s="63">
        <f t="shared" si="17"/>
        <v>444.88895369803549</v>
      </c>
      <c r="S43" s="63">
        <f t="shared" si="18"/>
        <v>326.80525803852197</v>
      </c>
      <c r="T43" s="63">
        <f t="shared" si="20"/>
        <v>118.08369565951351</v>
      </c>
      <c r="U43" s="63">
        <f t="shared" si="21"/>
        <v>11481.564307912828</v>
      </c>
      <c r="W43" s="67">
        <f t="shared" si="22"/>
        <v>45473</v>
      </c>
      <c r="X43" s="63">
        <f t="shared" si="4"/>
        <v>444.88895369803549</v>
      </c>
      <c r="Y43" s="63">
        <f t="shared" si="5"/>
        <v>336.65165369803549</v>
      </c>
      <c r="Z43" s="63">
        <f t="shared" si="23"/>
        <v>108.2373</v>
      </c>
      <c r="AA43" s="63">
        <f t="shared" si="7"/>
        <v>10487.08</v>
      </c>
    </row>
    <row r="44" spans="17:27" x14ac:dyDescent="0.35">
      <c r="Q44" s="67">
        <f t="shared" si="19"/>
        <v>45504</v>
      </c>
      <c r="R44" s="63">
        <f t="shared" si="17"/>
        <v>444.88895369803549</v>
      </c>
      <c r="S44" s="63">
        <f t="shared" si="18"/>
        <v>330.07331061890721</v>
      </c>
      <c r="T44" s="63">
        <f t="shared" si="20"/>
        <v>114.81564307912828</v>
      </c>
      <c r="U44" s="63">
        <f t="shared" si="21"/>
        <v>11151.49099729392</v>
      </c>
      <c r="W44" s="67">
        <f t="shared" si="22"/>
        <v>45504</v>
      </c>
      <c r="X44" s="63">
        <f t="shared" si="4"/>
        <v>444.88895369803549</v>
      </c>
      <c r="Y44" s="63">
        <f t="shared" si="5"/>
        <v>340.01815369803546</v>
      </c>
      <c r="Z44" s="63">
        <f t="shared" si="23"/>
        <v>104.8708</v>
      </c>
      <c r="AA44" s="63">
        <f t="shared" si="7"/>
        <v>10147.06</v>
      </c>
    </row>
    <row r="45" spans="17:27" x14ac:dyDescent="0.35">
      <c r="Q45" s="67">
        <f t="shared" si="19"/>
        <v>45535</v>
      </c>
      <c r="R45" s="63">
        <f t="shared" si="17"/>
        <v>444.88895369803549</v>
      </c>
      <c r="S45" s="63">
        <f t="shared" si="18"/>
        <v>333.37404372509627</v>
      </c>
      <c r="T45" s="63">
        <f t="shared" si="20"/>
        <v>111.51490997293921</v>
      </c>
      <c r="U45" s="63">
        <f t="shared" si="21"/>
        <v>10818.116953568824</v>
      </c>
      <c r="W45" s="67">
        <f t="shared" si="22"/>
        <v>45535</v>
      </c>
      <c r="X45" s="63">
        <f t="shared" si="4"/>
        <v>444.88895369803549</v>
      </c>
      <c r="Y45" s="63">
        <f t="shared" si="5"/>
        <v>343.4183536980355</v>
      </c>
      <c r="Z45" s="63">
        <f t="shared" si="23"/>
        <v>101.47059999999999</v>
      </c>
      <c r="AA45" s="63">
        <f t="shared" si="7"/>
        <v>9803.64</v>
      </c>
    </row>
    <row r="46" spans="17:27" x14ac:dyDescent="0.35">
      <c r="Q46" s="67">
        <f t="shared" si="19"/>
        <v>45565</v>
      </c>
      <c r="R46" s="63">
        <f t="shared" si="17"/>
        <v>444.88895369803549</v>
      </c>
      <c r="S46" s="63">
        <f t="shared" si="18"/>
        <v>336.70778416234725</v>
      </c>
      <c r="T46" s="63">
        <f t="shared" si="20"/>
        <v>108.18116953568824</v>
      </c>
      <c r="U46" s="63">
        <f t="shared" si="21"/>
        <v>10481.409169406477</v>
      </c>
      <c r="W46" s="67">
        <f t="shared" si="22"/>
        <v>45565</v>
      </c>
      <c r="X46" s="63">
        <f t="shared" si="4"/>
        <v>444.88895369803549</v>
      </c>
      <c r="Y46" s="63">
        <f t="shared" si="5"/>
        <v>346.85255369803548</v>
      </c>
      <c r="Z46" s="63">
        <f t="shared" si="23"/>
        <v>98.0364</v>
      </c>
      <c r="AA46" s="63">
        <f t="shared" si="7"/>
        <v>9456.7900000000009</v>
      </c>
    </row>
    <row r="47" spans="17:27" x14ac:dyDescent="0.35">
      <c r="Q47" s="67">
        <f t="shared" si="19"/>
        <v>45596</v>
      </c>
      <c r="R47" s="63">
        <f t="shared" si="17"/>
        <v>444.88895369803549</v>
      </c>
      <c r="S47" s="63">
        <f t="shared" si="18"/>
        <v>340.07486200397074</v>
      </c>
      <c r="T47" s="63">
        <f t="shared" si="20"/>
        <v>104.81409169406477</v>
      </c>
      <c r="U47" s="63">
        <f t="shared" si="21"/>
        <v>10141.334307402507</v>
      </c>
      <c r="W47" s="67">
        <f t="shared" si="22"/>
        <v>45596</v>
      </c>
      <c r="X47" s="63">
        <f t="shared" si="4"/>
        <v>444.88895369803549</v>
      </c>
      <c r="Y47" s="63">
        <f t="shared" si="5"/>
        <v>350.32105369803548</v>
      </c>
      <c r="Z47" s="63">
        <f t="shared" si="23"/>
        <v>94.567900000000009</v>
      </c>
      <c r="AA47" s="63">
        <f t="shared" si="7"/>
        <v>9106.4699999999993</v>
      </c>
    </row>
    <row r="48" spans="17:27" x14ac:dyDescent="0.35">
      <c r="Q48" s="67">
        <f t="shared" si="19"/>
        <v>45626</v>
      </c>
      <c r="R48" s="63">
        <f t="shared" si="17"/>
        <v>444.88895369803549</v>
      </c>
      <c r="S48" s="63">
        <f t="shared" si="18"/>
        <v>343.47561062401041</v>
      </c>
      <c r="T48" s="63">
        <f t="shared" si="20"/>
        <v>101.41334307402508</v>
      </c>
      <c r="U48" s="63">
        <f t="shared" si="21"/>
        <v>9797.8586967784959</v>
      </c>
      <c r="W48" s="67">
        <f t="shared" si="22"/>
        <v>45626</v>
      </c>
      <c r="X48" s="63">
        <f t="shared" si="4"/>
        <v>444.88895369803549</v>
      </c>
      <c r="Y48" s="63">
        <f t="shared" si="5"/>
        <v>353.82425369803548</v>
      </c>
      <c r="Z48" s="63">
        <f t="shared" si="23"/>
        <v>91.064700000000002</v>
      </c>
      <c r="AA48" s="63">
        <f t="shared" si="7"/>
        <v>8752.65</v>
      </c>
    </row>
    <row r="49" spans="17:27" x14ac:dyDescent="0.35">
      <c r="Q49" s="67">
        <f t="shared" si="19"/>
        <v>45657</v>
      </c>
      <c r="R49" s="63">
        <f t="shared" si="17"/>
        <v>444.88895369803549</v>
      </c>
      <c r="S49" s="63">
        <f t="shared" si="18"/>
        <v>346.91036673025053</v>
      </c>
      <c r="T49" s="63">
        <f t="shared" si="20"/>
        <v>97.978586967784963</v>
      </c>
      <c r="U49" s="63">
        <f t="shared" si="21"/>
        <v>9450.9483300482461</v>
      </c>
      <c r="W49" s="67">
        <f t="shared" si="22"/>
        <v>45657</v>
      </c>
      <c r="X49" s="63">
        <f t="shared" si="4"/>
        <v>444.88895369803549</v>
      </c>
      <c r="Y49" s="63">
        <f t="shared" si="5"/>
        <v>357.36245369803549</v>
      </c>
      <c r="Z49" s="63">
        <f t="shared" si="23"/>
        <v>87.526499999999999</v>
      </c>
      <c r="AA49" s="63">
        <f t="shared" si="7"/>
        <v>8395.2900000000009</v>
      </c>
    </row>
    <row r="50" spans="17:27" x14ac:dyDescent="0.35">
      <c r="Q50" s="67"/>
      <c r="R50" s="63"/>
      <c r="S50" s="63"/>
      <c r="T50" s="63"/>
      <c r="U50" s="63"/>
      <c r="W50" s="73" t="s">
        <v>100</v>
      </c>
      <c r="X50" s="74">
        <f t="shared" si="4"/>
        <v>444.88895369803549</v>
      </c>
      <c r="Y50" s="74">
        <f t="shared" si="5"/>
        <v>444.88895369803549</v>
      </c>
      <c r="Z50" s="74"/>
      <c r="AA50" s="75">
        <f t="shared" si="7"/>
        <v>7950.4</v>
      </c>
    </row>
    <row r="51" spans="17:27" x14ac:dyDescent="0.35">
      <c r="Q51" s="67">
        <f>EOMONTH(Q49,1)</f>
        <v>45688</v>
      </c>
      <c r="R51" s="63">
        <f t="shared" ref="R51:R62" si="24">$R$7</f>
        <v>444.88895369803549</v>
      </c>
      <c r="S51" s="63">
        <f t="shared" ref="S51:S62" si="25">R51-T51</f>
        <v>350.37947039755306</v>
      </c>
      <c r="T51" s="63">
        <f>U49*($R$5/12)</f>
        <v>94.509483300482458</v>
      </c>
      <c r="U51" s="63">
        <f>U49-S51</f>
        <v>9100.5688596506934</v>
      </c>
      <c r="W51" s="67">
        <f>EOMONTH(W49,1)</f>
        <v>45688</v>
      </c>
      <c r="X51" s="63">
        <f t="shared" si="4"/>
        <v>444.88895369803549</v>
      </c>
      <c r="Y51" s="63">
        <f t="shared" si="5"/>
        <v>360.93605369803549</v>
      </c>
      <c r="Z51" s="63">
        <f>AA49*($X$5/12)</f>
        <v>83.952900000000014</v>
      </c>
      <c r="AA51" s="63">
        <f t="shared" si="7"/>
        <v>7589.46</v>
      </c>
    </row>
    <row r="52" spans="17:27" x14ac:dyDescent="0.35">
      <c r="Q52" s="67">
        <f t="shared" ref="Q52:Q62" si="26">EOMONTH(Q51,1)</f>
        <v>45716</v>
      </c>
      <c r="R52" s="63">
        <f t="shared" si="24"/>
        <v>444.88895369803549</v>
      </c>
      <c r="S52" s="63">
        <f t="shared" si="25"/>
        <v>353.88326510152854</v>
      </c>
      <c r="T52" s="63">
        <f t="shared" ref="T52:T62" si="27">U51*($R$5/12)</f>
        <v>91.005688596506943</v>
      </c>
      <c r="U52" s="63">
        <f t="shared" ref="U52:U62" si="28">U51-S52</f>
        <v>8746.6855945491643</v>
      </c>
      <c r="W52" s="67">
        <f t="shared" ref="W52:W62" si="29">EOMONTH(W51,1)</f>
        <v>45716</v>
      </c>
      <c r="X52" s="63">
        <f t="shared" si="4"/>
        <v>444.88895369803549</v>
      </c>
      <c r="Y52" s="63">
        <f t="shared" si="5"/>
        <v>368.99435369803552</v>
      </c>
      <c r="Z52" s="63">
        <f t="shared" ref="Z52:Z62" si="30">AA51*($X$5/12)</f>
        <v>75.894599999999997</v>
      </c>
      <c r="AA52" s="63">
        <f t="shared" si="7"/>
        <v>7220.47</v>
      </c>
    </row>
    <row r="53" spans="17:27" x14ac:dyDescent="0.35">
      <c r="Q53" s="67">
        <f t="shared" si="26"/>
        <v>45747</v>
      </c>
      <c r="R53" s="63">
        <f t="shared" si="24"/>
        <v>444.88895369803549</v>
      </c>
      <c r="S53" s="63">
        <f t="shared" si="25"/>
        <v>357.42209775254383</v>
      </c>
      <c r="T53" s="63">
        <f t="shared" si="27"/>
        <v>87.466855945491645</v>
      </c>
      <c r="U53" s="63">
        <f t="shared" si="28"/>
        <v>8389.2634967966205</v>
      </c>
      <c r="W53" s="67">
        <f t="shared" si="29"/>
        <v>45747</v>
      </c>
      <c r="X53" s="63">
        <f t="shared" si="4"/>
        <v>444.88895369803549</v>
      </c>
      <c r="Y53" s="63">
        <f t="shared" si="5"/>
        <v>372.68425369803549</v>
      </c>
      <c r="Z53" s="63">
        <f t="shared" si="30"/>
        <v>72.204700000000003</v>
      </c>
      <c r="AA53" s="63">
        <f t="shared" si="7"/>
        <v>6847.79</v>
      </c>
    </row>
    <row r="54" spans="17:27" x14ac:dyDescent="0.35">
      <c r="Q54" s="67">
        <f t="shared" si="26"/>
        <v>45777</v>
      </c>
      <c r="R54" s="63">
        <f t="shared" si="24"/>
        <v>444.88895369803549</v>
      </c>
      <c r="S54" s="63">
        <f t="shared" si="25"/>
        <v>360.99631873006928</v>
      </c>
      <c r="T54" s="63">
        <f t="shared" si="27"/>
        <v>83.892634967966202</v>
      </c>
      <c r="U54" s="63">
        <f t="shared" si="28"/>
        <v>8028.2671780665514</v>
      </c>
      <c r="W54" s="67">
        <f t="shared" si="29"/>
        <v>45777</v>
      </c>
      <c r="X54" s="63">
        <f t="shared" si="4"/>
        <v>444.88895369803549</v>
      </c>
      <c r="Y54" s="63">
        <f t="shared" si="5"/>
        <v>376.41105369803552</v>
      </c>
      <c r="Z54" s="63">
        <f t="shared" si="30"/>
        <v>68.477900000000005</v>
      </c>
      <c r="AA54" s="63">
        <f t="shared" si="7"/>
        <v>6471.38</v>
      </c>
    </row>
    <row r="55" spans="17:27" x14ac:dyDescent="0.35">
      <c r="Q55" s="67">
        <f t="shared" si="26"/>
        <v>45808</v>
      </c>
      <c r="R55" s="63">
        <f t="shared" si="24"/>
        <v>444.88895369803549</v>
      </c>
      <c r="S55" s="63">
        <f t="shared" si="25"/>
        <v>364.60628191736998</v>
      </c>
      <c r="T55" s="63">
        <f t="shared" si="27"/>
        <v>80.28267178066551</v>
      </c>
      <c r="U55" s="63">
        <f t="shared" si="28"/>
        <v>7663.6608961491811</v>
      </c>
      <c r="W55" s="67">
        <f t="shared" si="29"/>
        <v>45808</v>
      </c>
      <c r="X55" s="63">
        <f t="shared" si="4"/>
        <v>444.88895369803549</v>
      </c>
      <c r="Y55" s="63">
        <f t="shared" si="5"/>
        <v>380.1751536980355</v>
      </c>
      <c r="Z55" s="63">
        <f t="shared" si="30"/>
        <v>64.713800000000006</v>
      </c>
      <c r="AA55" s="63">
        <f t="shared" si="7"/>
        <v>6091.2</v>
      </c>
    </row>
    <row r="56" spans="17:27" x14ac:dyDescent="0.35">
      <c r="Q56" s="67">
        <f t="shared" si="26"/>
        <v>45838</v>
      </c>
      <c r="R56" s="63">
        <f t="shared" si="24"/>
        <v>444.88895369803549</v>
      </c>
      <c r="S56" s="63">
        <f t="shared" si="25"/>
        <v>368.25234473654371</v>
      </c>
      <c r="T56" s="63">
        <f t="shared" si="27"/>
        <v>76.636608961491817</v>
      </c>
      <c r="U56" s="63">
        <f t="shared" si="28"/>
        <v>7295.4085514126373</v>
      </c>
      <c r="W56" s="67">
        <f t="shared" si="29"/>
        <v>45838</v>
      </c>
      <c r="X56" s="63">
        <f t="shared" si="4"/>
        <v>444.88895369803549</v>
      </c>
      <c r="Y56" s="63">
        <f t="shared" si="5"/>
        <v>383.97695369803552</v>
      </c>
      <c r="Z56" s="63">
        <f t="shared" si="30"/>
        <v>60.911999999999999</v>
      </c>
      <c r="AA56" s="63">
        <f t="shared" si="7"/>
        <v>5707.22</v>
      </c>
    </row>
    <row r="57" spans="17:27" x14ac:dyDescent="0.35">
      <c r="Q57" s="67">
        <f t="shared" si="26"/>
        <v>45869</v>
      </c>
      <c r="R57" s="63">
        <f t="shared" si="24"/>
        <v>444.88895369803549</v>
      </c>
      <c r="S57" s="63">
        <f t="shared" si="25"/>
        <v>371.93486818390909</v>
      </c>
      <c r="T57" s="63">
        <f t="shared" si="27"/>
        <v>72.954085514126376</v>
      </c>
      <c r="U57" s="63">
        <f t="shared" si="28"/>
        <v>6923.4736832287281</v>
      </c>
      <c r="W57" s="67">
        <f t="shared" si="29"/>
        <v>45869</v>
      </c>
      <c r="X57" s="63">
        <f t="shared" si="4"/>
        <v>444.88895369803549</v>
      </c>
      <c r="Y57" s="63">
        <f t="shared" si="5"/>
        <v>387.81675369803548</v>
      </c>
      <c r="Z57" s="63">
        <f t="shared" si="30"/>
        <v>57.072200000000002</v>
      </c>
      <c r="AA57" s="63">
        <f t="shared" si="7"/>
        <v>5319.4</v>
      </c>
    </row>
    <row r="58" spans="17:27" x14ac:dyDescent="0.35">
      <c r="Q58" s="67">
        <f t="shared" si="26"/>
        <v>45900</v>
      </c>
      <c r="R58" s="63">
        <f t="shared" si="24"/>
        <v>444.88895369803549</v>
      </c>
      <c r="S58" s="63">
        <f t="shared" si="25"/>
        <v>375.6542168657482</v>
      </c>
      <c r="T58" s="63">
        <f t="shared" si="27"/>
        <v>69.234736832287282</v>
      </c>
      <c r="U58" s="63">
        <f t="shared" si="28"/>
        <v>6547.8194663629802</v>
      </c>
      <c r="W58" s="67">
        <f t="shared" si="29"/>
        <v>45900</v>
      </c>
      <c r="X58" s="63">
        <f t="shared" si="4"/>
        <v>444.88895369803549</v>
      </c>
      <c r="Y58" s="63">
        <f t="shared" si="5"/>
        <v>391.69495369803548</v>
      </c>
      <c r="Z58" s="63">
        <f t="shared" si="30"/>
        <v>53.193999999999996</v>
      </c>
      <c r="AA58" s="63">
        <f t="shared" si="7"/>
        <v>4927.71</v>
      </c>
    </row>
    <row r="59" spans="17:27" x14ac:dyDescent="0.35">
      <c r="Q59" s="67">
        <f t="shared" si="26"/>
        <v>45930</v>
      </c>
      <c r="R59" s="63">
        <f t="shared" si="24"/>
        <v>444.88895369803549</v>
      </c>
      <c r="S59" s="63">
        <f t="shared" si="25"/>
        <v>379.41075903440571</v>
      </c>
      <c r="T59" s="63">
        <f t="shared" si="27"/>
        <v>65.478194663629807</v>
      </c>
      <c r="U59" s="63">
        <f t="shared" si="28"/>
        <v>6168.4087073285746</v>
      </c>
      <c r="W59" s="67">
        <f t="shared" si="29"/>
        <v>45930</v>
      </c>
      <c r="X59" s="63">
        <f t="shared" si="4"/>
        <v>444.88895369803549</v>
      </c>
      <c r="Y59" s="63">
        <f t="shared" si="5"/>
        <v>395.61185369803547</v>
      </c>
      <c r="Z59" s="63">
        <f t="shared" si="30"/>
        <v>49.277100000000004</v>
      </c>
      <c r="AA59" s="63">
        <f t="shared" si="7"/>
        <v>4532.1000000000004</v>
      </c>
    </row>
    <row r="60" spans="17:27" x14ac:dyDescent="0.35">
      <c r="Q60" s="67">
        <f t="shared" si="26"/>
        <v>45961</v>
      </c>
      <c r="R60" s="63">
        <f t="shared" si="24"/>
        <v>444.88895369803549</v>
      </c>
      <c r="S60" s="63">
        <f t="shared" si="25"/>
        <v>383.20486662474974</v>
      </c>
      <c r="T60" s="63">
        <f t="shared" si="27"/>
        <v>61.684087073285745</v>
      </c>
      <c r="U60" s="63">
        <f t="shared" si="28"/>
        <v>5785.2038407038244</v>
      </c>
      <c r="W60" s="67">
        <f t="shared" si="29"/>
        <v>45961</v>
      </c>
      <c r="X60" s="63">
        <f t="shared" si="4"/>
        <v>444.88895369803549</v>
      </c>
      <c r="Y60" s="63">
        <f t="shared" si="5"/>
        <v>399.56795369803547</v>
      </c>
      <c r="Z60" s="63">
        <f t="shared" si="30"/>
        <v>45.321000000000005</v>
      </c>
      <c r="AA60" s="63">
        <f t="shared" si="7"/>
        <v>4132.53</v>
      </c>
    </row>
    <row r="61" spans="17:27" x14ac:dyDescent="0.35">
      <c r="Q61" s="67">
        <f t="shared" si="26"/>
        <v>45991</v>
      </c>
      <c r="R61" s="63">
        <f t="shared" si="24"/>
        <v>444.88895369803549</v>
      </c>
      <c r="S61" s="63">
        <f t="shared" si="25"/>
        <v>387.03691529099723</v>
      </c>
      <c r="T61" s="63">
        <f t="shared" si="27"/>
        <v>57.852038407038243</v>
      </c>
      <c r="U61" s="63">
        <f t="shared" si="28"/>
        <v>5398.1669254128274</v>
      </c>
      <c r="W61" s="67">
        <f t="shared" si="29"/>
        <v>45991</v>
      </c>
      <c r="X61" s="63">
        <f t="shared" si="4"/>
        <v>444.88895369803549</v>
      </c>
      <c r="Y61" s="63">
        <f t="shared" si="5"/>
        <v>403.56365369803552</v>
      </c>
      <c r="Z61" s="63">
        <f t="shared" si="30"/>
        <v>41.325299999999999</v>
      </c>
      <c r="AA61" s="63">
        <f t="shared" si="7"/>
        <v>3728.97</v>
      </c>
    </row>
    <row r="62" spans="17:27" x14ac:dyDescent="0.35">
      <c r="Q62" s="67">
        <f t="shared" si="26"/>
        <v>46022</v>
      </c>
      <c r="R62" s="63">
        <f t="shared" si="24"/>
        <v>444.88895369803549</v>
      </c>
      <c r="S62" s="63">
        <f t="shared" si="25"/>
        <v>390.9072844439072</v>
      </c>
      <c r="T62" s="63">
        <f t="shared" si="27"/>
        <v>53.981669254128278</v>
      </c>
      <c r="U62" s="63">
        <f t="shared" si="28"/>
        <v>5007.2596409689204</v>
      </c>
      <c r="W62" s="67">
        <f t="shared" si="29"/>
        <v>46022</v>
      </c>
      <c r="X62" s="63">
        <f t="shared" si="4"/>
        <v>444.88895369803549</v>
      </c>
      <c r="Y62" s="63">
        <f t="shared" si="5"/>
        <v>407.59925369803551</v>
      </c>
      <c r="Z62" s="63">
        <f t="shared" si="30"/>
        <v>37.289699999999996</v>
      </c>
      <c r="AA62" s="63">
        <f t="shared" si="7"/>
        <v>3321.37</v>
      </c>
    </row>
    <row r="63" spans="17:27" x14ac:dyDescent="0.35">
      <c r="Q63" s="67"/>
      <c r="R63" s="63"/>
      <c r="S63" s="63"/>
      <c r="T63" s="63"/>
      <c r="U63" s="63"/>
      <c r="W63" s="73" t="s">
        <v>100</v>
      </c>
      <c r="X63" s="74">
        <f t="shared" si="4"/>
        <v>444.88895369803549</v>
      </c>
      <c r="Y63" s="74">
        <f t="shared" si="5"/>
        <v>444.88895369803549</v>
      </c>
      <c r="Z63" s="74"/>
      <c r="AA63" s="75">
        <f t="shared" si="7"/>
        <v>2876.48</v>
      </c>
    </row>
    <row r="64" spans="17:27" x14ac:dyDescent="0.35">
      <c r="Q64" s="67">
        <f>EOMONTH(Q62,1)</f>
        <v>46053</v>
      </c>
      <c r="R64" s="63">
        <f t="shared" ref="R64:R75" si="31">$R$7</f>
        <v>444.88895369803549</v>
      </c>
      <c r="S64" s="63">
        <f t="shared" ref="S64:S75" si="32">R64-T64</f>
        <v>394.8163572883463</v>
      </c>
      <c r="T64" s="63">
        <f>U62*($R$5/12)</f>
        <v>50.072596409689204</v>
      </c>
      <c r="U64" s="63">
        <f>U62-S64</f>
        <v>4612.4432836805745</v>
      </c>
      <c r="W64" s="67">
        <f>EOMONTH(W62,1)</f>
        <v>46053</v>
      </c>
      <c r="X64" s="63">
        <f t="shared" si="4"/>
        <v>444.88895369803549</v>
      </c>
      <c r="Y64" s="63">
        <f t="shared" si="5"/>
        <v>411.67525369803548</v>
      </c>
      <c r="Z64" s="63">
        <f>AA62*($X$5/12)</f>
        <v>33.213700000000003</v>
      </c>
      <c r="AA64" s="63">
        <f t="shared" si="7"/>
        <v>2464.8000000000002</v>
      </c>
    </row>
    <row r="65" spans="17:27" x14ac:dyDescent="0.35">
      <c r="Q65" s="67">
        <f t="shared" ref="Q65:Q75" si="33">EOMONTH(Q64,1)</f>
        <v>46081</v>
      </c>
      <c r="R65" s="63">
        <f t="shared" si="31"/>
        <v>444.88895369803549</v>
      </c>
      <c r="S65" s="63">
        <f t="shared" si="32"/>
        <v>398.76452086122976</v>
      </c>
      <c r="T65" s="63">
        <f t="shared" ref="T65:T75" si="34">U64*($R$5/12)</f>
        <v>46.124432836805745</v>
      </c>
      <c r="U65" s="63">
        <f t="shared" ref="U65:U75" si="35">U64-S65</f>
        <v>4213.6787628193451</v>
      </c>
      <c r="W65" s="67">
        <f t="shared" ref="W65:W70" si="36">EOMONTH(W64,1)</f>
        <v>46081</v>
      </c>
      <c r="X65" s="63">
        <f t="shared" si="4"/>
        <v>444.88895369803549</v>
      </c>
      <c r="Y65" s="63">
        <f t="shared" si="5"/>
        <v>420.24095369803547</v>
      </c>
      <c r="Z65" s="63">
        <f>AA64*($X$5/12)</f>
        <v>24.648000000000003</v>
      </c>
      <c r="AA65" s="63">
        <f t="shared" si="7"/>
        <v>2044.56</v>
      </c>
    </row>
    <row r="66" spans="17:27" x14ac:dyDescent="0.35">
      <c r="Q66" s="67">
        <f t="shared" si="33"/>
        <v>46112</v>
      </c>
      <c r="R66" s="63">
        <f t="shared" si="31"/>
        <v>444.88895369803549</v>
      </c>
      <c r="S66" s="63">
        <f t="shared" si="32"/>
        <v>402.75216606984202</v>
      </c>
      <c r="T66" s="63">
        <f t="shared" si="34"/>
        <v>42.136787628193453</v>
      </c>
      <c r="U66" s="63">
        <f t="shared" si="35"/>
        <v>3810.926596749503</v>
      </c>
      <c r="W66" s="67">
        <f t="shared" si="36"/>
        <v>46112</v>
      </c>
      <c r="X66" s="63">
        <f t="shared" si="4"/>
        <v>444.88895369803549</v>
      </c>
      <c r="Y66" s="63">
        <f t="shared" si="5"/>
        <v>424.44335369803548</v>
      </c>
      <c r="Z66" s="63">
        <f>AA65*($X$5/12)</f>
        <v>20.445599999999999</v>
      </c>
      <c r="AA66" s="63">
        <f t="shared" si="7"/>
        <v>1620.12</v>
      </c>
    </row>
    <row r="67" spans="17:27" x14ac:dyDescent="0.35">
      <c r="Q67" s="67">
        <f t="shared" si="33"/>
        <v>46142</v>
      </c>
      <c r="R67" s="63">
        <f t="shared" si="31"/>
        <v>444.88895369803549</v>
      </c>
      <c r="S67" s="63">
        <f t="shared" si="32"/>
        <v>406.77968773054045</v>
      </c>
      <c r="T67" s="63">
        <f t="shared" si="34"/>
        <v>38.109265967495034</v>
      </c>
      <c r="U67" s="63">
        <f t="shared" si="35"/>
        <v>3404.1469090189626</v>
      </c>
      <c r="W67" s="67">
        <f t="shared" si="36"/>
        <v>46142</v>
      </c>
      <c r="X67" s="63">
        <f t="shared" si="4"/>
        <v>444.88895369803549</v>
      </c>
      <c r="Y67" s="63">
        <f t="shared" si="5"/>
        <v>428.68775369803552</v>
      </c>
      <c r="Z67" s="63">
        <f>AA66*($X$5/12)</f>
        <v>16.2012</v>
      </c>
      <c r="AA67" s="63">
        <f t="shared" si="7"/>
        <v>1191.43</v>
      </c>
    </row>
    <row r="68" spans="17:27" x14ac:dyDescent="0.35">
      <c r="Q68" s="67">
        <f t="shared" si="33"/>
        <v>46173</v>
      </c>
      <c r="R68" s="63">
        <f t="shared" si="31"/>
        <v>444.88895369803549</v>
      </c>
      <c r="S68" s="63">
        <f t="shared" si="32"/>
        <v>410.84748460784584</v>
      </c>
      <c r="T68" s="63">
        <f t="shared" si="34"/>
        <v>34.041469090189629</v>
      </c>
      <c r="U68" s="63">
        <f t="shared" si="35"/>
        <v>2993.2994244111169</v>
      </c>
      <c r="W68" s="67">
        <f t="shared" si="36"/>
        <v>46173</v>
      </c>
      <c r="X68" s="63">
        <f t="shared" si="4"/>
        <v>444.88895369803549</v>
      </c>
      <c r="Y68" s="63">
        <f t="shared" si="5"/>
        <v>432.97465369803547</v>
      </c>
      <c r="Z68" s="63">
        <f>AA67*($X$5/12)</f>
        <v>11.914300000000001</v>
      </c>
      <c r="AA68" s="63">
        <f t="shared" si="7"/>
        <v>758.46</v>
      </c>
    </row>
    <row r="69" spans="17:27" x14ac:dyDescent="0.35">
      <c r="Q69" s="67">
        <f t="shared" si="33"/>
        <v>46203</v>
      </c>
      <c r="R69" s="63">
        <f t="shared" si="31"/>
        <v>444.88895369803549</v>
      </c>
      <c r="S69" s="63">
        <f t="shared" si="32"/>
        <v>414.95595945392432</v>
      </c>
      <c r="T69" s="63">
        <f t="shared" si="34"/>
        <v>29.932994244111171</v>
      </c>
      <c r="U69" s="63">
        <f t="shared" si="35"/>
        <v>2578.3434649571927</v>
      </c>
      <c r="W69" s="67">
        <f t="shared" si="36"/>
        <v>46203</v>
      </c>
      <c r="X69" s="63">
        <f t="shared" si="4"/>
        <v>444.88895369803549</v>
      </c>
      <c r="Y69" s="63">
        <f t="shared" si="5"/>
        <v>437.30435369803547</v>
      </c>
      <c r="Z69" s="63">
        <f>AA68*($X$5/12)</f>
        <v>7.5846000000000009</v>
      </c>
      <c r="AA69" s="63">
        <f t="shared" si="7"/>
        <v>321.16000000000003</v>
      </c>
    </row>
    <row r="70" spans="17:27" x14ac:dyDescent="0.35">
      <c r="Q70" s="67">
        <f t="shared" si="33"/>
        <v>46234</v>
      </c>
      <c r="R70" s="63">
        <f t="shared" si="31"/>
        <v>444.88895369803549</v>
      </c>
      <c r="S70" s="63">
        <f t="shared" si="32"/>
        <v>419.10551904846358</v>
      </c>
      <c r="T70" s="63">
        <f t="shared" si="34"/>
        <v>25.783434649571927</v>
      </c>
      <c r="U70" s="63">
        <f t="shared" si="35"/>
        <v>2159.2379459087292</v>
      </c>
      <c r="W70" s="67">
        <f t="shared" si="36"/>
        <v>46234</v>
      </c>
      <c r="X70" s="63">
        <f>+AA69</f>
        <v>321.16000000000003</v>
      </c>
      <c r="Y70" s="63">
        <f t="shared" si="5"/>
        <v>321.16000000000003</v>
      </c>
      <c r="Z70" s="63">
        <v>0</v>
      </c>
      <c r="AA70" s="63">
        <f t="shared" si="7"/>
        <v>0</v>
      </c>
    </row>
    <row r="71" spans="17:27" x14ac:dyDescent="0.35">
      <c r="Q71" s="67">
        <f t="shared" si="33"/>
        <v>46265</v>
      </c>
      <c r="R71" s="63">
        <f t="shared" si="31"/>
        <v>444.88895369803549</v>
      </c>
      <c r="S71" s="63">
        <f t="shared" si="32"/>
        <v>423.29657423894821</v>
      </c>
      <c r="T71" s="63">
        <f t="shared" si="34"/>
        <v>21.592379459087294</v>
      </c>
      <c r="U71" s="63">
        <f t="shared" si="35"/>
        <v>1735.9413716697809</v>
      </c>
      <c r="W71" s="67"/>
      <c r="X71" s="63"/>
      <c r="Y71" s="63"/>
      <c r="Z71" s="63"/>
      <c r="AA71" s="63"/>
    </row>
    <row r="72" spans="17:27" x14ac:dyDescent="0.35">
      <c r="Q72" s="67">
        <f t="shared" si="33"/>
        <v>46295</v>
      </c>
      <c r="R72" s="63">
        <f t="shared" si="31"/>
        <v>444.88895369803549</v>
      </c>
      <c r="S72" s="63">
        <f t="shared" si="32"/>
        <v>427.52953998133768</v>
      </c>
      <c r="T72" s="63">
        <f t="shared" si="34"/>
        <v>17.359413716697809</v>
      </c>
      <c r="U72" s="63">
        <f t="shared" si="35"/>
        <v>1308.4118316884433</v>
      </c>
      <c r="W72" s="67"/>
      <c r="X72" s="63"/>
      <c r="Y72" s="63"/>
      <c r="Z72" s="63"/>
      <c r="AA72" s="63"/>
    </row>
    <row r="73" spans="17:27" x14ac:dyDescent="0.35">
      <c r="Q73" s="67">
        <f t="shared" si="33"/>
        <v>46326</v>
      </c>
      <c r="R73" s="63">
        <f t="shared" si="31"/>
        <v>444.88895369803549</v>
      </c>
      <c r="S73" s="63">
        <f t="shared" si="32"/>
        <v>431.80483538115107</v>
      </c>
      <c r="T73" s="63">
        <f t="shared" si="34"/>
        <v>13.084118316884433</v>
      </c>
      <c r="U73" s="63">
        <f t="shared" si="35"/>
        <v>876.60699630729221</v>
      </c>
      <c r="W73" s="67"/>
      <c r="X73" s="63"/>
      <c r="Y73" s="63"/>
      <c r="Z73" s="63"/>
      <c r="AA73" s="63"/>
    </row>
    <row r="74" spans="17:27" x14ac:dyDescent="0.35">
      <c r="Q74" s="67">
        <f t="shared" si="33"/>
        <v>46356</v>
      </c>
      <c r="R74" s="63">
        <f t="shared" si="31"/>
        <v>444.88895369803549</v>
      </c>
      <c r="S74" s="63">
        <f t="shared" si="32"/>
        <v>436.12288373496256</v>
      </c>
      <c r="T74" s="63">
        <f t="shared" si="34"/>
        <v>8.7660699630729226</v>
      </c>
      <c r="U74" s="63">
        <f t="shared" si="35"/>
        <v>440.48411257232965</v>
      </c>
      <c r="W74" s="67"/>
      <c r="X74" s="63"/>
      <c r="Y74" s="63"/>
      <c r="Z74" s="63"/>
      <c r="AA74" s="63"/>
    </row>
    <row r="75" spans="17:27" x14ac:dyDescent="0.35">
      <c r="Q75" s="67">
        <f t="shared" si="33"/>
        <v>46387</v>
      </c>
      <c r="R75" s="63">
        <f t="shared" si="31"/>
        <v>444.88895369803549</v>
      </c>
      <c r="S75" s="63">
        <f t="shared" si="32"/>
        <v>440.4841125723122</v>
      </c>
      <c r="T75" s="63">
        <f t="shared" si="34"/>
        <v>4.4048411257232969</v>
      </c>
      <c r="U75" s="63">
        <f t="shared" si="35"/>
        <v>1.7450929590268061E-11</v>
      </c>
      <c r="W75" s="67"/>
      <c r="X75" s="63"/>
      <c r="Y75" s="63"/>
      <c r="Z75" s="63"/>
      <c r="AA75" s="63"/>
    </row>
    <row r="76" spans="17:27" x14ac:dyDescent="0.35">
      <c r="Q76" s="67"/>
      <c r="R76" s="63"/>
      <c r="S76" s="63"/>
      <c r="T76" s="63"/>
      <c r="U76" s="63"/>
    </row>
    <row r="77" spans="17:27" ht="15" thickBot="1" x14ac:dyDescent="0.4">
      <c r="Q77" s="76" t="s">
        <v>48</v>
      </c>
      <c r="R77" s="77">
        <f>SUM(R12:R76)</f>
        <v>26693.33722188211</v>
      </c>
      <c r="S77" s="77">
        <f>SUM(S12:S76)</f>
        <v>19999.999999999989</v>
      </c>
      <c r="T77" s="77">
        <f>SUM(T12:T76)</f>
        <v>6693.3372218821378</v>
      </c>
      <c r="U77" s="77"/>
      <c r="W77" s="76" t="s">
        <v>48</v>
      </c>
      <c r="X77" s="77">
        <f>SUM(X12:X76)</f>
        <v>26124.719314486039</v>
      </c>
      <c r="Y77" s="77">
        <f>SUM(Y12:Y76)</f>
        <v>19999.996314486052</v>
      </c>
      <c r="Z77" s="77">
        <f>SUM(Z12:Z76)</f>
        <v>6124.7230000000018</v>
      </c>
      <c r="AA77" s="77"/>
    </row>
    <row r="78" spans="17:27" ht="15" thickTop="1" x14ac:dyDescent="0.35">
      <c r="Q78" s="67"/>
      <c r="R78" s="63"/>
      <c r="S78" s="63"/>
      <c r="T78" s="63"/>
      <c r="U78" s="63"/>
    </row>
    <row r="79" spans="17:27" x14ac:dyDescent="0.35">
      <c r="Q79" s="67"/>
      <c r="R79" s="63"/>
      <c r="S79" s="63"/>
      <c r="T79" s="63"/>
      <c r="U79" s="63"/>
    </row>
    <row r="80" spans="17:27" x14ac:dyDescent="0.35">
      <c r="Q80" s="67"/>
      <c r="R80" s="63"/>
      <c r="S80" s="63"/>
      <c r="T80" s="63"/>
      <c r="U80" s="63"/>
      <c r="W80" s="78" t="s">
        <v>100</v>
      </c>
      <c r="X80" s="79"/>
      <c r="Y80" s="79"/>
    </row>
    <row r="81" spans="17:25" x14ac:dyDescent="0.35">
      <c r="Q81" s="67"/>
      <c r="R81" s="63"/>
      <c r="S81" s="63"/>
      <c r="T81" s="63"/>
      <c r="U81" s="63"/>
      <c r="W81" s="49" t="s">
        <v>101</v>
      </c>
      <c r="X81" s="48"/>
      <c r="Y81" s="80">
        <f>COUNTIFS(W11:W77,W80)</f>
        <v>4</v>
      </c>
    </row>
    <row r="82" spans="17:25" x14ac:dyDescent="0.35">
      <c r="Q82" s="67"/>
      <c r="R82" s="63"/>
      <c r="S82" s="63"/>
      <c r="T82" s="63"/>
      <c r="U82" s="63"/>
      <c r="W82" s="49" t="s">
        <v>102</v>
      </c>
      <c r="X82" s="48"/>
      <c r="Y82" s="81">
        <f>COUNT(R71:R75)</f>
        <v>5</v>
      </c>
    </row>
    <row r="83" spans="17:25" x14ac:dyDescent="0.35">
      <c r="Q83" s="67"/>
      <c r="R83" s="63"/>
      <c r="S83" s="63"/>
      <c r="T83" s="63"/>
      <c r="U83" s="63"/>
      <c r="W83" s="49" t="s">
        <v>103</v>
      </c>
      <c r="X83" s="48"/>
      <c r="Y83" s="54">
        <f>T77-Z77</f>
        <v>568.61422188213601</v>
      </c>
    </row>
    <row r="84" spans="17:25" x14ac:dyDescent="0.35">
      <c r="Q84" s="67"/>
      <c r="R84" s="63"/>
      <c r="S84" s="63"/>
      <c r="T84" s="63"/>
      <c r="U84" s="63"/>
    </row>
    <row r="85" spans="17:25" x14ac:dyDescent="0.35">
      <c r="Q85" s="67"/>
      <c r="R85" s="63"/>
      <c r="S85" s="63"/>
      <c r="T85" s="63"/>
      <c r="U85" s="63"/>
    </row>
    <row r="86" spans="17:25" x14ac:dyDescent="0.35">
      <c r="Q86" s="67"/>
      <c r="R86" s="63"/>
      <c r="S86" s="63"/>
      <c r="T86" s="63"/>
      <c r="U86" s="63"/>
    </row>
    <row r="87" spans="17:25" x14ac:dyDescent="0.35">
      <c r="Q87" s="67"/>
      <c r="R87" s="63"/>
      <c r="S87" s="63"/>
      <c r="T87" s="63"/>
      <c r="U87" s="63"/>
    </row>
    <row r="88" spans="17:25" x14ac:dyDescent="0.35">
      <c r="Q88" s="67"/>
      <c r="R88" s="63"/>
      <c r="S88" s="63"/>
      <c r="T88" s="63"/>
      <c r="U88" s="6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EDB67-47AE-4EAA-85D5-BED74312C3FD}">
  <sheetPr>
    <tabColor theme="9" tint="0.59999389629810485"/>
    <pageSetUpPr autoPageBreaks="0"/>
  </sheetPr>
  <dimension ref="B1:F11"/>
  <sheetViews>
    <sheetView showGridLines="0" workbookViewId="0"/>
  </sheetViews>
  <sheetFormatPr defaultColWidth="8.7265625" defaultRowHeight="14.5" x14ac:dyDescent="0.35"/>
  <cols>
    <col min="1" max="1" width="2.81640625" customWidth="1"/>
    <col min="2" max="2" width="28.81640625" bestFit="1" customWidth="1"/>
    <col min="3" max="3" width="15.54296875" customWidth="1"/>
    <col min="5" max="5" width="28.453125" bestFit="1" customWidth="1"/>
    <col min="6" max="6" width="15.54296875" customWidth="1"/>
  </cols>
  <sheetData>
    <row r="1" spans="2:6" ht="7.5" customHeight="1" x14ac:dyDescent="0.35"/>
    <row r="2" spans="2:6" x14ac:dyDescent="0.35">
      <c r="B2" s="45" t="s">
        <v>63</v>
      </c>
    </row>
    <row r="3" spans="2:6" ht="7.5" customHeight="1" x14ac:dyDescent="0.35"/>
    <row r="5" spans="2:6" x14ac:dyDescent="0.35">
      <c r="B5" s="48" t="s">
        <v>104</v>
      </c>
      <c r="E5" s="48" t="s">
        <v>105</v>
      </c>
    </row>
    <row r="7" spans="2:6" x14ac:dyDescent="0.35">
      <c r="B7" t="s">
        <v>106</v>
      </c>
      <c r="C7" s="58">
        <v>0.05</v>
      </c>
      <c r="E7" t="s">
        <v>106</v>
      </c>
      <c r="F7" s="68">
        <v>1E-4</v>
      </c>
    </row>
    <row r="9" spans="2:6" x14ac:dyDescent="0.35">
      <c r="B9" t="s">
        <v>107</v>
      </c>
      <c r="C9" s="63">
        <v>50000</v>
      </c>
      <c r="E9" t="s">
        <v>107</v>
      </c>
      <c r="F9" s="63">
        <v>50000</v>
      </c>
    </row>
    <row r="10" spans="2:6" x14ac:dyDescent="0.35">
      <c r="B10" s="64" t="s">
        <v>69</v>
      </c>
      <c r="C10" s="69">
        <f>+C7</f>
        <v>0.05</v>
      </c>
      <c r="E10" s="64" t="s">
        <v>69</v>
      </c>
      <c r="F10" s="82">
        <f>+F7</f>
        <v>1E-4</v>
      </c>
    </row>
    <row r="11" spans="2:6" x14ac:dyDescent="0.35">
      <c r="B11" t="s">
        <v>94</v>
      </c>
      <c r="C11" s="63">
        <f>+C9*C10</f>
        <v>2500</v>
      </c>
      <c r="E11" t="s">
        <v>94</v>
      </c>
      <c r="F11" s="63">
        <f>+F9*F10</f>
        <v>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6F058-41A5-4AB3-9337-9C205BBB7F35}">
  <sheetPr>
    <tabColor theme="9" tint="0.59999389629810485"/>
    <pageSetUpPr autoPageBreaks="0"/>
  </sheetPr>
  <dimension ref="B1:H27"/>
  <sheetViews>
    <sheetView showGridLines="0" zoomScaleNormal="100" workbookViewId="0"/>
  </sheetViews>
  <sheetFormatPr defaultColWidth="8.7265625" defaultRowHeight="14.5" x14ac:dyDescent="0.35"/>
  <cols>
    <col min="1" max="1" width="2.81640625" customWidth="1"/>
    <col min="2" max="2" width="28.81640625" bestFit="1" customWidth="1"/>
    <col min="3" max="3" width="15.54296875" customWidth="1"/>
    <col min="4" max="4" width="5.7265625" customWidth="1"/>
    <col min="5" max="5" width="0.54296875" style="43" customWidth="1"/>
    <col min="6" max="6" width="5.7265625" customWidth="1"/>
    <col min="7" max="7" width="28.453125" bestFit="1" customWidth="1"/>
    <col min="8" max="8" width="15.54296875" customWidth="1"/>
  </cols>
  <sheetData>
    <row r="1" spans="2:8" ht="7.5" customHeight="1" x14ac:dyDescent="0.35"/>
    <row r="2" spans="2:8" x14ac:dyDescent="0.35">
      <c r="B2" s="45" t="s">
        <v>63</v>
      </c>
      <c r="G2" s="45" t="s">
        <v>64</v>
      </c>
    </row>
    <row r="3" spans="2:8" ht="7.5" customHeight="1" x14ac:dyDescent="0.35"/>
    <row r="5" spans="2:8" x14ac:dyDescent="0.35">
      <c r="B5" s="48" t="s">
        <v>108</v>
      </c>
      <c r="G5" s="48" t="s">
        <v>109</v>
      </c>
    </row>
    <row r="7" spans="2:8" x14ac:dyDescent="0.35">
      <c r="B7" t="s">
        <v>110</v>
      </c>
      <c r="C7" s="83">
        <v>100000</v>
      </c>
      <c r="G7" t="s">
        <v>110</v>
      </c>
      <c r="H7" s="83">
        <f>C7</f>
        <v>100000</v>
      </c>
    </row>
    <row r="8" spans="2:8" x14ac:dyDescent="0.35">
      <c r="B8" s="64" t="s">
        <v>111</v>
      </c>
      <c r="C8" s="69">
        <v>0.1</v>
      </c>
      <c r="G8" s="64" t="s">
        <v>111</v>
      </c>
      <c r="H8" s="69">
        <v>0.1</v>
      </c>
    </row>
    <row r="9" spans="2:8" x14ac:dyDescent="0.35">
      <c r="B9" t="s">
        <v>112</v>
      </c>
      <c r="C9" s="83">
        <f>+C7*C8</f>
        <v>10000</v>
      </c>
      <c r="G9" t="s">
        <v>112</v>
      </c>
      <c r="H9" s="83">
        <f>+H7*H8</f>
        <v>10000</v>
      </c>
    </row>
    <row r="10" spans="2:8" x14ac:dyDescent="0.35">
      <c r="C10" s="83"/>
      <c r="H10" s="83"/>
    </row>
    <row r="11" spans="2:8" x14ac:dyDescent="0.35">
      <c r="B11" t="s">
        <v>113</v>
      </c>
      <c r="C11" s="84">
        <v>0.25</v>
      </c>
      <c r="G11" t="s">
        <v>113</v>
      </c>
      <c r="H11" s="84">
        <f>C11</f>
        <v>0.25</v>
      </c>
    </row>
    <row r="12" spans="2:8" x14ac:dyDescent="0.35">
      <c r="C12" s="83"/>
      <c r="H12" s="83"/>
    </row>
    <row r="13" spans="2:8" x14ac:dyDescent="0.35">
      <c r="B13" t="s">
        <v>114</v>
      </c>
      <c r="C13" s="83">
        <f>C7</f>
        <v>100000</v>
      </c>
      <c r="G13" t="s">
        <v>114</v>
      </c>
      <c r="H13" s="83">
        <f>H7</f>
        <v>100000</v>
      </c>
    </row>
    <row r="14" spans="2:8" x14ac:dyDescent="0.35">
      <c r="B14" s="64" t="s">
        <v>115</v>
      </c>
      <c r="C14" s="85">
        <f>+C9</f>
        <v>10000</v>
      </c>
      <c r="G14" s="64" t="s">
        <v>115</v>
      </c>
      <c r="H14" s="85">
        <v>0</v>
      </c>
    </row>
    <row r="15" spans="2:8" x14ac:dyDescent="0.35">
      <c r="B15" t="s">
        <v>116</v>
      </c>
      <c r="C15" s="86">
        <f>+C13-C14</f>
        <v>90000</v>
      </c>
      <c r="G15" t="s">
        <v>116</v>
      </c>
      <c r="H15" s="86">
        <f>+H13-H14</f>
        <v>100000</v>
      </c>
    </row>
    <row r="16" spans="2:8" x14ac:dyDescent="0.35">
      <c r="B16" s="64" t="s">
        <v>117</v>
      </c>
      <c r="C16" s="85">
        <f>+C15*C11</f>
        <v>22500</v>
      </c>
      <c r="G16" s="64" t="s">
        <v>117</v>
      </c>
      <c r="H16" s="85">
        <f>+H15*H11</f>
        <v>25000</v>
      </c>
    </row>
    <row r="17" spans="2:8" x14ac:dyDescent="0.35">
      <c r="B17" t="s">
        <v>118</v>
      </c>
      <c r="C17" s="83">
        <f>+C15-C16</f>
        <v>67500</v>
      </c>
      <c r="G17" t="s">
        <v>118</v>
      </c>
      <c r="H17" s="83">
        <f>+H15-H16</f>
        <v>75000</v>
      </c>
    </row>
    <row r="18" spans="2:8" x14ac:dyDescent="0.35">
      <c r="B18" s="64" t="s">
        <v>119</v>
      </c>
      <c r="C18" s="85">
        <v>0</v>
      </c>
      <c r="G18" s="64" t="s">
        <v>119</v>
      </c>
      <c r="H18" s="85">
        <f>+H9</f>
        <v>10000</v>
      </c>
    </row>
    <row r="19" spans="2:8" x14ac:dyDescent="0.35">
      <c r="B19" t="s">
        <v>17</v>
      </c>
      <c r="C19" s="83">
        <f>+C17-C18</f>
        <v>67500</v>
      </c>
      <c r="G19" t="s">
        <v>17</v>
      </c>
      <c r="H19" s="83">
        <f>+H17-H18</f>
        <v>65000</v>
      </c>
    </row>
    <row r="20" spans="2:8" x14ac:dyDescent="0.35">
      <c r="C20" s="83"/>
      <c r="H20" s="83"/>
    </row>
    <row r="21" spans="2:8" x14ac:dyDescent="0.35">
      <c r="C21" s="87"/>
      <c r="H21" s="87"/>
    </row>
    <row r="22" spans="2:8" x14ac:dyDescent="0.35">
      <c r="C22" s="87"/>
      <c r="H22" s="87"/>
    </row>
    <row r="23" spans="2:8" x14ac:dyDescent="0.35">
      <c r="C23" s="87"/>
      <c r="H23" s="87"/>
    </row>
    <row r="25" spans="2:8" x14ac:dyDescent="0.35">
      <c r="C25" s="86"/>
      <c r="H25" s="86"/>
    </row>
    <row r="27" spans="2:8" x14ac:dyDescent="0.35">
      <c r="C27" s="86"/>
    </row>
  </sheetData>
  <pageMargins left="0.7" right="0.7" top="0.75" bottom="0.75" header="0.3" footer="0.3"/>
  <pageSetup scale="2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6AC3-345C-4668-AE20-3F53CA55CC5F}">
  <sheetPr>
    <tabColor theme="9" tint="0.59999389629810485"/>
    <pageSetUpPr autoPageBreaks="0"/>
  </sheetPr>
  <dimension ref="B1:O38"/>
  <sheetViews>
    <sheetView showGridLines="0" workbookViewId="0">
      <pane ySplit="3" topLeftCell="A4" activePane="bottomLeft" state="frozen"/>
      <selection pane="bottomLeft"/>
    </sheetView>
  </sheetViews>
  <sheetFormatPr defaultColWidth="8.7265625" defaultRowHeight="14.5" x14ac:dyDescent="0.35"/>
  <cols>
    <col min="1" max="1" width="2.81640625" customWidth="1"/>
    <col min="2" max="2" width="35" customWidth="1"/>
    <col min="3" max="3" width="15.453125" style="88" customWidth="1"/>
    <col min="4" max="4" width="5.7265625" customWidth="1"/>
    <col min="5" max="5" width="0.54296875" style="43" customWidth="1"/>
    <col min="6" max="6" width="5.7265625" customWidth="1"/>
    <col min="7" max="7" width="35" customWidth="1"/>
    <col min="8" max="8" width="15.453125" style="88" customWidth="1"/>
    <col min="9" max="9" width="5.7265625" customWidth="1"/>
    <col min="10" max="10" width="0.54296875" style="43" customWidth="1"/>
    <col min="11" max="11" width="5.7265625" customWidth="1"/>
    <col min="12" max="12" width="35" customWidth="1"/>
    <col min="13" max="13" width="15.453125" style="88" customWidth="1"/>
    <col min="15" max="15" width="60.54296875" bestFit="1" customWidth="1"/>
  </cols>
  <sheetData>
    <row r="1" spans="2:15" ht="7.5" customHeight="1" x14ac:dyDescent="0.35"/>
    <row r="2" spans="2:15" x14ac:dyDescent="0.35">
      <c r="B2" s="45" t="s">
        <v>63</v>
      </c>
      <c r="G2" s="45" t="s">
        <v>64</v>
      </c>
      <c r="L2" s="45" t="s">
        <v>65</v>
      </c>
    </row>
    <row r="3" spans="2:15" ht="7.5" customHeight="1" x14ac:dyDescent="0.35"/>
    <row r="5" spans="2:15" x14ac:dyDescent="0.35">
      <c r="B5" s="48" t="s">
        <v>120</v>
      </c>
      <c r="G5" s="48" t="s">
        <v>120</v>
      </c>
      <c r="L5" s="48" t="s">
        <v>120</v>
      </c>
      <c r="O5" s="89" t="s">
        <v>121</v>
      </c>
    </row>
    <row r="6" spans="2:15" x14ac:dyDescent="0.35">
      <c r="O6" s="90" t="s">
        <v>122</v>
      </c>
    </row>
    <row r="7" spans="2:15" x14ac:dyDescent="0.35">
      <c r="B7" t="s">
        <v>123</v>
      </c>
      <c r="C7" s="88">
        <v>10000</v>
      </c>
      <c r="G7" t="s">
        <v>123</v>
      </c>
      <c r="H7" s="88">
        <v>10000</v>
      </c>
      <c r="L7" t="s">
        <v>123</v>
      </c>
      <c r="M7" s="88">
        <v>10000</v>
      </c>
      <c r="O7" s="90" t="s">
        <v>124</v>
      </c>
    </row>
    <row r="8" spans="2:15" x14ac:dyDescent="0.35">
      <c r="B8" t="s">
        <v>125</v>
      </c>
      <c r="C8" s="88">
        <v>300000</v>
      </c>
      <c r="G8" t="s">
        <v>125</v>
      </c>
      <c r="H8" s="88">
        <v>300000</v>
      </c>
      <c r="L8" t="s">
        <v>125</v>
      </c>
      <c r="M8" s="88">
        <v>300000</v>
      </c>
    </row>
    <row r="9" spans="2:15" x14ac:dyDescent="0.35">
      <c r="B9" t="s">
        <v>126</v>
      </c>
      <c r="C9" s="88">
        <v>15000</v>
      </c>
      <c r="G9" t="s">
        <v>126</v>
      </c>
      <c r="H9" s="88">
        <v>15000</v>
      </c>
      <c r="L9" t="s">
        <v>126</v>
      </c>
      <c r="M9" s="88">
        <v>15000</v>
      </c>
    </row>
    <row r="10" spans="2:15" x14ac:dyDescent="0.35">
      <c r="B10" t="s">
        <v>127</v>
      </c>
      <c r="C10" s="88">
        <v>5000</v>
      </c>
      <c r="G10" t="s">
        <v>127</v>
      </c>
      <c r="H10" s="88">
        <v>5000</v>
      </c>
      <c r="L10" t="s">
        <v>127</v>
      </c>
      <c r="M10" s="88">
        <v>5000</v>
      </c>
    </row>
    <row r="11" spans="2:15" x14ac:dyDescent="0.35">
      <c r="B11" s="64" t="s">
        <v>52</v>
      </c>
      <c r="C11" s="85">
        <v>25000</v>
      </c>
      <c r="G11" s="64" t="s">
        <v>52</v>
      </c>
      <c r="H11" s="85">
        <v>25000</v>
      </c>
      <c r="L11" s="64" t="s">
        <v>52</v>
      </c>
      <c r="M11" s="85">
        <v>25000</v>
      </c>
    </row>
    <row r="12" spans="2:15" x14ac:dyDescent="0.35">
      <c r="B12" s="91" t="s">
        <v>128</v>
      </c>
      <c r="C12" s="92">
        <f>SUM(C7:C11)</f>
        <v>355000</v>
      </c>
      <c r="G12" s="91" t="s">
        <v>128</v>
      </c>
      <c r="H12" s="92">
        <f>SUM(H7:H11)</f>
        <v>355000</v>
      </c>
      <c r="L12" s="91" t="s">
        <v>128</v>
      </c>
      <c r="M12" s="92">
        <f>SUM(M7:M11)</f>
        <v>355000</v>
      </c>
    </row>
    <row r="14" spans="2:15" x14ac:dyDescent="0.35">
      <c r="G14" s="48" t="s">
        <v>129</v>
      </c>
      <c r="L14" s="48" t="s">
        <v>129</v>
      </c>
    </row>
    <row r="16" spans="2:15" x14ac:dyDescent="0.35">
      <c r="G16" t="s">
        <v>110</v>
      </c>
      <c r="H16" s="88">
        <v>100000</v>
      </c>
      <c r="L16" t="s">
        <v>110</v>
      </c>
      <c r="M16" s="88">
        <v>100000</v>
      </c>
    </row>
    <row r="17" spans="7:13" x14ac:dyDescent="0.35">
      <c r="G17" s="64" t="s">
        <v>130</v>
      </c>
      <c r="H17" s="70">
        <v>5</v>
      </c>
      <c r="L17" s="64" t="s">
        <v>130</v>
      </c>
      <c r="M17" s="70">
        <v>5</v>
      </c>
    </row>
    <row r="18" spans="7:13" x14ac:dyDescent="0.35">
      <c r="G18" s="91" t="s">
        <v>131</v>
      </c>
      <c r="H18" s="92">
        <f>+H16*H17</f>
        <v>500000</v>
      </c>
      <c r="L18" s="91" t="s">
        <v>131</v>
      </c>
      <c r="M18" s="92">
        <f>+M16*M17</f>
        <v>500000</v>
      </c>
    </row>
    <row r="20" spans="7:13" x14ac:dyDescent="0.35">
      <c r="L20" s="48" t="s">
        <v>132</v>
      </c>
    </row>
    <row r="22" spans="7:13" x14ac:dyDescent="0.35">
      <c r="L22" t="s">
        <v>133</v>
      </c>
      <c r="M22" s="88">
        <v>50000</v>
      </c>
    </row>
    <row r="23" spans="7:13" x14ac:dyDescent="0.35">
      <c r="L23" s="64" t="s">
        <v>134</v>
      </c>
      <c r="M23" s="70">
        <v>4</v>
      </c>
    </row>
    <row r="24" spans="7:13" x14ac:dyDescent="0.35">
      <c r="L24" t="s">
        <v>135</v>
      </c>
      <c r="M24" s="88">
        <f>+M22*M23</f>
        <v>200000</v>
      </c>
    </row>
    <row r="25" spans="7:13" x14ac:dyDescent="0.35">
      <c r="L25" s="64" t="s">
        <v>136</v>
      </c>
      <c r="M25" s="70">
        <v>3</v>
      </c>
    </row>
    <row r="26" spans="7:13" x14ac:dyDescent="0.35">
      <c r="L26" s="91" t="s">
        <v>137</v>
      </c>
      <c r="M26" s="92">
        <f>+M24*M25</f>
        <v>600000</v>
      </c>
    </row>
    <row r="28" spans="7:13" x14ac:dyDescent="0.35">
      <c r="L28" t="s">
        <v>138</v>
      </c>
      <c r="M28" s="88">
        <v>35000</v>
      </c>
    </row>
    <row r="29" spans="7:13" x14ac:dyDescent="0.35">
      <c r="L29" s="64" t="s">
        <v>136</v>
      </c>
      <c r="M29" s="70">
        <v>3</v>
      </c>
    </row>
    <row r="30" spans="7:13" x14ac:dyDescent="0.35">
      <c r="L30" s="91" t="s">
        <v>139</v>
      </c>
      <c r="M30" s="92">
        <f>+M28*M29</f>
        <v>105000</v>
      </c>
    </row>
    <row r="32" spans="7:13" x14ac:dyDescent="0.35">
      <c r="L32" t="s">
        <v>140</v>
      </c>
      <c r="M32" s="88">
        <v>7000</v>
      </c>
    </row>
    <row r="33" spans="2:13" x14ac:dyDescent="0.35">
      <c r="L33" s="64" t="s">
        <v>141</v>
      </c>
      <c r="M33" s="70">
        <v>30</v>
      </c>
    </row>
    <row r="34" spans="2:13" x14ac:dyDescent="0.35">
      <c r="L34" s="91" t="s">
        <v>142</v>
      </c>
      <c r="M34" s="92">
        <f>+M32*M33</f>
        <v>210000</v>
      </c>
    </row>
    <row r="37" spans="2:13" ht="15" thickBot="1" x14ac:dyDescent="0.4">
      <c r="B37" s="93" t="s">
        <v>143</v>
      </c>
      <c r="C37" s="94">
        <f>C12</f>
        <v>355000</v>
      </c>
      <c r="G37" s="93" t="s">
        <v>143</v>
      </c>
      <c r="H37" s="94">
        <f>+H18+H12</f>
        <v>855000</v>
      </c>
      <c r="L37" s="93" t="s">
        <v>143</v>
      </c>
      <c r="M37" s="94">
        <f>+M34+M30+M26+M18+M12</f>
        <v>1770000</v>
      </c>
    </row>
    <row r="38" spans="2:13" ht="15" thickTop="1"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A8F4-3481-427B-80C7-436EF73921C9}">
  <sheetPr>
    <tabColor theme="9" tint="0.59999389629810485"/>
    <pageSetUpPr autoPageBreaks="0"/>
  </sheetPr>
  <dimension ref="A4:S98"/>
  <sheetViews>
    <sheetView showGridLines="0" workbookViewId="0">
      <pane ySplit="7" topLeftCell="A8" activePane="bottomLeft" state="frozen"/>
      <selection pane="bottomLeft"/>
    </sheetView>
  </sheetViews>
  <sheetFormatPr defaultRowHeight="14.5" x14ac:dyDescent="0.35"/>
  <cols>
    <col min="1" max="1" width="1.54296875" customWidth="1"/>
    <col min="2" max="3" width="16.7265625" customWidth="1"/>
    <col min="4" max="4" width="1.54296875" customWidth="1"/>
    <col min="5" max="5" width="16.7265625" customWidth="1"/>
    <col min="6" max="6" width="1.54296875" customWidth="1"/>
    <col min="7" max="9" width="16.7265625" customWidth="1"/>
    <col min="10" max="10" width="1.54296875" customWidth="1"/>
    <col min="11" max="14" width="16.7265625" customWidth="1"/>
    <col min="15" max="15" width="1.54296875" customWidth="1"/>
    <col min="16" max="16" width="13.453125" bestFit="1" customWidth="1"/>
    <col min="18" max="18" width="17.7265625" bestFit="1" customWidth="1"/>
    <col min="19" max="19" width="12.54296875" bestFit="1" customWidth="1"/>
  </cols>
  <sheetData>
    <row r="4" spans="1:16" s="95" customFormat="1" x14ac:dyDescent="0.35">
      <c r="G4" s="96" t="s">
        <v>144</v>
      </c>
      <c r="H4" s="96"/>
      <c r="I4" s="96"/>
      <c r="K4" s="96" t="s">
        <v>145</v>
      </c>
      <c r="L4" s="96"/>
      <c r="M4" s="96"/>
      <c r="N4" s="96"/>
      <c r="P4" s="97" t="s">
        <v>64</v>
      </c>
    </row>
    <row r="5" spans="1:16" s="95" customFormat="1" x14ac:dyDescent="0.35">
      <c r="B5" s="98"/>
      <c r="C5" s="98"/>
      <c r="E5" s="98" t="s">
        <v>146</v>
      </c>
      <c r="G5" s="98" t="s">
        <v>48</v>
      </c>
      <c r="H5" s="98" t="s">
        <v>147</v>
      </c>
      <c r="I5" s="98" t="s">
        <v>48</v>
      </c>
      <c r="K5" s="98"/>
      <c r="L5" s="98" t="s">
        <v>48</v>
      </c>
      <c r="M5" s="98" t="s">
        <v>147</v>
      </c>
      <c r="N5" s="98" t="s">
        <v>48</v>
      </c>
      <c r="P5" s="99" t="s">
        <v>148</v>
      </c>
    </row>
    <row r="6" spans="1:16" s="95" customFormat="1" x14ac:dyDescent="0.35">
      <c r="B6" s="98"/>
      <c r="C6" s="98"/>
      <c r="E6" s="98" t="s">
        <v>149</v>
      </c>
      <c r="G6" s="98" t="s">
        <v>150</v>
      </c>
      <c r="H6" s="98" t="s">
        <v>151</v>
      </c>
      <c r="I6" s="98" t="s">
        <v>152</v>
      </c>
      <c r="K6" s="98"/>
      <c r="L6" s="98" t="s">
        <v>150</v>
      </c>
      <c r="M6" s="98" t="s">
        <v>151</v>
      </c>
      <c r="N6" s="98" t="s">
        <v>152</v>
      </c>
      <c r="P6" s="99" t="s">
        <v>153</v>
      </c>
    </row>
    <row r="7" spans="1:16" s="95" customFormat="1" x14ac:dyDescent="0.35">
      <c r="B7" s="98" t="s">
        <v>154</v>
      </c>
      <c r="C7" s="98" t="s">
        <v>155</v>
      </c>
      <c r="E7" s="98" t="s">
        <v>153</v>
      </c>
      <c r="G7" s="98" t="s">
        <v>156</v>
      </c>
      <c r="H7" s="98" t="s">
        <v>156</v>
      </c>
      <c r="I7" s="98" t="s">
        <v>157</v>
      </c>
      <c r="K7" s="98" t="s">
        <v>158</v>
      </c>
      <c r="L7" s="98" t="s">
        <v>156</v>
      </c>
      <c r="M7" s="98" t="s">
        <v>156</v>
      </c>
      <c r="N7" s="98" t="s">
        <v>157</v>
      </c>
      <c r="P7" s="99" t="s">
        <v>159</v>
      </c>
    </row>
    <row r="8" spans="1:16" x14ac:dyDescent="0.35">
      <c r="A8" s="100"/>
      <c r="B8" s="87">
        <v>1</v>
      </c>
      <c r="C8" s="87">
        <v>31</v>
      </c>
      <c r="D8" s="100"/>
      <c r="E8" s="87">
        <v>6755</v>
      </c>
      <c r="F8" s="100"/>
      <c r="G8" s="87">
        <v>0</v>
      </c>
      <c r="H8" s="87">
        <v>0</v>
      </c>
      <c r="I8" s="87">
        <v>500000</v>
      </c>
      <c r="J8" s="100"/>
      <c r="K8" s="101">
        <v>0</v>
      </c>
      <c r="L8" s="101">
        <v>0</v>
      </c>
      <c r="M8" s="87">
        <v>0</v>
      </c>
      <c r="N8" s="87">
        <v>500000</v>
      </c>
      <c r="O8" s="100"/>
      <c r="P8" s="102">
        <f>E8-K8</f>
        <v>6755</v>
      </c>
    </row>
    <row r="9" spans="1:16" x14ac:dyDescent="0.35">
      <c r="A9" s="100"/>
      <c r="B9" s="87">
        <v>2</v>
      </c>
      <c r="C9" s="87">
        <v>32</v>
      </c>
      <c r="D9" s="100"/>
      <c r="E9" s="87">
        <v>6755</v>
      </c>
      <c r="F9" s="100"/>
      <c r="G9" s="87">
        <v>0</v>
      </c>
      <c r="H9" s="87">
        <v>0</v>
      </c>
      <c r="I9" s="87">
        <v>500000</v>
      </c>
      <c r="J9" s="100"/>
      <c r="K9" s="101">
        <v>0</v>
      </c>
      <c r="L9" s="101">
        <v>0</v>
      </c>
      <c r="M9" s="87">
        <v>0</v>
      </c>
      <c r="N9" s="87">
        <v>500000</v>
      </c>
      <c r="O9" s="100"/>
      <c r="P9" s="102">
        <f t="shared" ref="P9:P29" si="0">E9-K9</f>
        <v>6755</v>
      </c>
    </row>
    <row r="10" spans="1:16" x14ac:dyDescent="0.35">
      <c r="A10" s="100"/>
      <c r="B10" s="87">
        <v>3</v>
      </c>
      <c r="C10" s="87">
        <v>33</v>
      </c>
      <c r="D10" s="100"/>
      <c r="E10" s="87">
        <v>6755</v>
      </c>
      <c r="F10" s="100"/>
      <c r="G10" s="87">
        <v>3735</v>
      </c>
      <c r="H10" s="87">
        <v>3735</v>
      </c>
      <c r="I10" s="87">
        <v>500000</v>
      </c>
      <c r="J10" s="100"/>
      <c r="K10" s="101">
        <v>0</v>
      </c>
      <c r="L10" s="101">
        <v>3735</v>
      </c>
      <c r="M10" s="87">
        <v>3735</v>
      </c>
      <c r="N10" s="87">
        <v>500000</v>
      </c>
      <c r="O10" s="100"/>
      <c r="P10" s="102">
        <f t="shared" si="0"/>
        <v>6755</v>
      </c>
    </row>
    <row r="11" spans="1:16" x14ac:dyDescent="0.35">
      <c r="A11" s="100"/>
      <c r="B11" s="87">
        <v>4</v>
      </c>
      <c r="C11" s="87">
        <v>34</v>
      </c>
      <c r="D11" s="100"/>
      <c r="E11" s="87">
        <v>6755</v>
      </c>
      <c r="F11" s="100"/>
      <c r="G11" s="87">
        <v>9600</v>
      </c>
      <c r="H11" s="87">
        <v>5865</v>
      </c>
      <c r="I11" s="87">
        <v>500000</v>
      </c>
      <c r="J11" s="100"/>
      <c r="K11" s="101">
        <v>50</v>
      </c>
      <c r="L11" s="101">
        <v>9650</v>
      </c>
      <c r="M11" s="87">
        <v>5915</v>
      </c>
      <c r="N11" s="87">
        <v>500050</v>
      </c>
      <c r="O11" s="100"/>
      <c r="P11" s="102">
        <f t="shared" si="0"/>
        <v>6705</v>
      </c>
    </row>
    <row r="12" spans="1:16" x14ac:dyDescent="0.35">
      <c r="A12" s="100"/>
      <c r="B12" s="87">
        <v>5</v>
      </c>
      <c r="C12" s="87">
        <v>35</v>
      </c>
      <c r="D12" s="100"/>
      <c r="E12" s="87">
        <v>6755</v>
      </c>
      <c r="F12" s="100"/>
      <c r="G12" s="87">
        <v>16875</v>
      </c>
      <c r="H12" s="87">
        <v>7275</v>
      </c>
      <c r="I12" s="87">
        <v>500000</v>
      </c>
      <c r="J12" s="100"/>
      <c r="K12" s="101">
        <v>1081</v>
      </c>
      <c r="L12" s="101">
        <v>18008</v>
      </c>
      <c r="M12" s="87">
        <v>8358</v>
      </c>
      <c r="N12" s="87">
        <v>501266</v>
      </c>
      <c r="O12" s="100"/>
      <c r="P12" s="102">
        <f t="shared" si="0"/>
        <v>5674</v>
      </c>
    </row>
    <row r="13" spans="1:16" x14ac:dyDescent="0.35">
      <c r="A13" s="100"/>
      <c r="B13" s="87">
        <v>6</v>
      </c>
      <c r="C13" s="87">
        <v>36</v>
      </c>
      <c r="D13" s="100"/>
      <c r="E13" s="87">
        <v>6755</v>
      </c>
      <c r="F13" s="100"/>
      <c r="G13" s="87">
        <v>23205</v>
      </c>
      <c r="H13" s="87">
        <v>6330</v>
      </c>
      <c r="I13" s="87">
        <v>500000</v>
      </c>
      <c r="J13" s="100"/>
      <c r="K13" s="101">
        <v>1305</v>
      </c>
      <c r="L13" s="101">
        <v>25673</v>
      </c>
      <c r="M13" s="87">
        <v>7665</v>
      </c>
      <c r="N13" s="87">
        <v>505378</v>
      </c>
      <c r="O13" s="100"/>
      <c r="P13" s="102">
        <f t="shared" si="0"/>
        <v>5450</v>
      </c>
    </row>
    <row r="14" spans="1:16" x14ac:dyDescent="0.35">
      <c r="A14" s="100"/>
      <c r="B14" s="87">
        <v>7</v>
      </c>
      <c r="C14" s="87">
        <v>37</v>
      </c>
      <c r="D14" s="100"/>
      <c r="E14" s="87">
        <v>6755</v>
      </c>
      <c r="F14" s="100"/>
      <c r="G14" s="87">
        <v>29810</v>
      </c>
      <c r="H14" s="87">
        <v>6605</v>
      </c>
      <c r="I14" s="87">
        <v>500000</v>
      </c>
      <c r="J14" s="100"/>
      <c r="K14" s="101">
        <v>1591</v>
      </c>
      <c r="L14" s="101">
        <v>33934</v>
      </c>
      <c r="M14" s="87">
        <v>8261</v>
      </c>
      <c r="N14" s="87">
        <v>510237</v>
      </c>
      <c r="O14" s="100"/>
      <c r="P14" s="102">
        <f t="shared" si="0"/>
        <v>5164</v>
      </c>
    </row>
    <row r="15" spans="1:16" x14ac:dyDescent="0.35">
      <c r="A15" s="100"/>
      <c r="B15" s="87">
        <v>8</v>
      </c>
      <c r="C15" s="87">
        <v>38</v>
      </c>
      <c r="D15" s="100"/>
      <c r="E15" s="87">
        <v>6755</v>
      </c>
      <c r="F15" s="100"/>
      <c r="G15" s="87">
        <v>36705</v>
      </c>
      <c r="H15" s="87">
        <v>6895</v>
      </c>
      <c r="I15" s="87">
        <v>500000</v>
      </c>
      <c r="J15" s="100"/>
      <c r="K15" s="101">
        <v>1837</v>
      </c>
      <c r="L15" s="101">
        <v>42773</v>
      </c>
      <c r="M15" s="87">
        <v>8839</v>
      </c>
      <c r="N15" s="87">
        <v>515916</v>
      </c>
      <c r="O15" s="100"/>
      <c r="P15" s="102">
        <f t="shared" si="0"/>
        <v>4918</v>
      </c>
    </row>
    <row r="16" spans="1:16" x14ac:dyDescent="0.35">
      <c r="A16" s="100"/>
      <c r="B16" s="87">
        <v>9</v>
      </c>
      <c r="C16" s="87">
        <v>39</v>
      </c>
      <c r="D16" s="100"/>
      <c r="E16" s="87">
        <v>6755</v>
      </c>
      <c r="F16" s="100"/>
      <c r="G16" s="87">
        <v>43885</v>
      </c>
      <c r="H16" s="87">
        <v>7180</v>
      </c>
      <c r="I16" s="87">
        <v>500000</v>
      </c>
      <c r="J16" s="100"/>
      <c r="K16" s="101">
        <v>2105</v>
      </c>
      <c r="L16" s="101">
        <v>52215</v>
      </c>
      <c r="M16" s="87">
        <v>9442</v>
      </c>
      <c r="N16" s="87">
        <v>522296</v>
      </c>
      <c r="O16" s="100"/>
      <c r="P16" s="102">
        <f t="shared" si="0"/>
        <v>4650</v>
      </c>
    </row>
    <row r="17" spans="1:19" x14ac:dyDescent="0.35">
      <c r="A17" s="100"/>
      <c r="B17" s="87">
        <v>10</v>
      </c>
      <c r="C17" s="87">
        <v>40</v>
      </c>
      <c r="D17" s="100"/>
      <c r="E17" s="87">
        <v>6755</v>
      </c>
      <c r="F17" s="100"/>
      <c r="G17" s="87">
        <v>51350</v>
      </c>
      <c r="H17" s="87">
        <v>7465</v>
      </c>
      <c r="I17" s="87">
        <v>500000</v>
      </c>
      <c r="J17" s="100"/>
      <c r="K17" s="101">
        <v>2363</v>
      </c>
      <c r="L17" s="101">
        <v>62257</v>
      </c>
      <c r="M17" s="87">
        <v>10042</v>
      </c>
      <c r="N17" s="87">
        <v>529382</v>
      </c>
      <c r="O17" s="100"/>
      <c r="P17" s="102">
        <f t="shared" si="0"/>
        <v>4392</v>
      </c>
    </row>
    <row r="18" spans="1:19" x14ac:dyDescent="0.35">
      <c r="A18" s="100"/>
      <c r="B18" s="87">
        <v>11</v>
      </c>
      <c r="C18" s="87">
        <v>41</v>
      </c>
      <c r="D18" s="100"/>
      <c r="E18" s="87">
        <v>6755</v>
      </c>
      <c r="F18" s="100"/>
      <c r="G18" s="87">
        <v>58770</v>
      </c>
      <c r="H18" s="87">
        <v>7420</v>
      </c>
      <c r="I18" s="87">
        <v>500000</v>
      </c>
      <c r="J18" s="100"/>
      <c r="K18" s="101">
        <v>2726</v>
      </c>
      <c r="L18" s="101">
        <v>72681</v>
      </c>
      <c r="M18" s="87">
        <v>10424</v>
      </c>
      <c r="N18" s="87">
        <v>537218</v>
      </c>
      <c r="O18" s="100"/>
      <c r="P18" s="102">
        <f t="shared" si="0"/>
        <v>4029</v>
      </c>
    </row>
    <row r="19" spans="1:19" x14ac:dyDescent="0.35">
      <c r="A19" s="100"/>
      <c r="B19" s="87">
        <v>12</v>
      </c>
      <c r="C19" s="87">
        <v>42</v>
      </c>
      <c r="D19" s="100"/>
      <c r="E19" s="87">
        <v>6755</v>
      </c>
      <c r="F19" s="100"/>
      <c r="G19" s="87">
        <v>66445</v>
      </c>
      <c r="H19" s="87">
        <v>7675</v>
      </c>
      <c r="I19" s="87">
        <v>500000</v>
      </c>
      <c r="J19" s="100"/>
      <c r="K19" s="101">
        <v>3036</v>
      </c>
      <c r="L19" s="101">
        <v>83745</v>
      </c>
      <c r="M19" s="87">
        <v>11064</v>
      </c>
      <c r="N19" s="87">
        <v>545934</v>
      </c>
      <c r="O19" s="100"/>
      <c r="P19" s="102">
        <f t="shared" si="0"/>
        <v>3719</v>
      </c>
    </row>
    <row r="20" spans="1:19" x14ac:dyDescent="0.35">
      <c r="A20" s="100"/>
      <c r="B20" s="87">
        <v>13</v>
      </c>
      <c r="C20" s="87">
        <v>43</v>
      </c>
      <c r="D20" s="100"/>
      <c r="E20" s="87">
        <v>6755</v>
      </c>
      <c r="F20" s="100"/>
      <c r="G20" s="87">
        <v>74390</v>
      </c>
      <c r="H20" s="87">
        <v>7945</v>
      </c>
      <c r="I20" s="87">
        <v>500000</v>
      </c>
      <c r="J20" s="100"/>
      <c r="K20" s="101">
        <v>3358</v>
      </c>
      <c r="L20" s="101">
        <v>95484</v>
      </c>
      <c r="M20" s="87">
        <v>11740</v>
      </c>
      <c r="N20" s="87">
        <v>555387</v>
      </c>
      <c r="O20" s="100"/>
      <c r="P20" s="102">
        <f t="shared" si="0"/>
        <v>3397</v>
      </c>
    </row>
    <row r="21" spans="1:19" x14ac:dyDescent="0.35">
      <c r="A21" s="100"/>
      <c r="B21" s="87">
        <v>14</v>
      </c>
      <c r="C21" s="87">
        <v>44</v>
      </c>
      <c r="D21" s="100"/>
      <c r="E21" s="87">
        <v>6755</v>
      </c>
      <c r="F21" s="100"/>
      <c r="G21" s="87">
        <v>82640</v>
      </c>
      <c r="H21" s="87">
        <v>8250</v>
      </c>
      <c r="I21" s="87">
        <v>500000</v>
      </c>
      <c r="J21" s="100"/>
      <c r="K21" s="101">
        <v>3642</v>
      </c>
      <c r="L21" s="101">
        <v>107911</v>
      </c>
      <c r="M21" s="87">
        <v>12426</v>
      </c>
      <c r="N21" s="87">
        <v>565521</v>
      </c>
      <c r="O21" s="100"/>
      <c r="P21" s="102">
        <f t="shared" si="0"/>
        <v>3113</v>
      </c>
    </row>
    <row r="22" spans="1:19" x14ac:dyDescent="0.35">
      <c r="A22" s="100"/>
      <c r="B22" s="87">
        <v>15</v>
      </c>
      <c r="C22" s="87">
        <v>45</v>
      </c>
      <c r="D22" s="100"/>
      <c r="E22" s="87">
        <v>6755</v>
      </c>
      <c r="F22" s="100"/>
      <c r="G22" s="87">
        <v>91200</v>
      </c>
      <c r="H22" s="87">
        <v>8560</v>
      </c>
      <c r="I22" s="87">
        <v>500000</v>
      </c>
      <c r="J22" s="100"/>
      <c r="K22" s="101">
        <v>3948</v>
      </c>
      <c r="L22" s="101">
        <v>121059</v>
      </c>
      <c r="M22" s="87">
        <v>13149</v>
      </c>
      <c r="N22" s="87">
        <v>576247</v>
      </c>
      <c r="O22" s="100"/>
      <c r="P22" s="102">
        <f t="shared" si="0"/>
        <v>2807</v>
      </c>
    </row>
    <row r="23" spans="1:19" x14ac:dyDescent="0.35">
      <c r="A23" s="100"/>
      <c r="B23" s="87">
        <v>16</v>
      </c>
      <c r="C23" s="87">
        <v>46</v>
      </c>
      <c r="D23" s="100"/>
      <c r="E23" s="87">
        <v>6755</v>
      </c>
      <c r="F23" s="100"/>
      <c r="G23" s="87">
        <v>98990</v>
      </c>
      <c r="H23" s="87">
        <v>7790</v>
      </c>
      <c r="I23" s="87">
        <v>500000</v>
      </c>
      <c r="J23" s="100"/>
      <c r="K23" s="101">
        <v>4263</v>
      </c>
      <c r="L23" s="101">
        <v>133871</v>
      </c>
      <c r="M23" s="87">
        <v>12812</v>
      </c>
      <c r="N23" s="87">
        <v>587578</v>
      </c>
      <c r="O23" s="100"/>
      <c r="P23" s="102">
        <f t="shared" si="0"/>
        <v>2492</v>
      </c>
    </row>
    <row r="24" spans="1:19" x14ac:dyDescent="0.35">
      <c r="A24" s="100"/>
      <c r="B24" s="87">
        <v>17</v>
      </c>
      <c r="C24" s="87">
        <v>47</v>
      </c>
      <c r="D24" s="100"/>
      <c r="E24" s="87">
        <v>6755</v>
      </c>
      <c r="F24" s="100"/>
      <c r="G24" s="87">
        <v>107005</v>
      </c>
      <c r="H24" s="87">
        <v>8015</v>
      </c>
      <c r="I24" s="87">
        <v>500000</v>
      </c>
      <c r="J24" s="100"/>
      <c r="K24" s="101">
        <v>4594</v>
      </c>
      <c r="L24" s="101">
        <v>147369</v>
      </c>
      <c r="M24" s="87">
        <v>13498</v>
      </c>
      <c r="N24" s="87">
        <v>599510</v>
      </c>
      <c r="O24" s="100"/>
      <c r="P24" s="102">
        <f t="shared" si="0"/>
        <v>2161</v>
      </c>
    </row>
    <row r="25" spans="1:19" x14ac:dyDescent="0.35">
      <c r="A25" s="100"/>
      <c r="B25" s="87">
        <v>18</v>
      </c>
      <c r="C25" s="87">
        <v>48</v>
      </c>
      <c r="D25" s="100"/>
      <c r="E25" s="87">
        <v>6755</v>
      </c>
      <c r="F25" s="100"/>
      <c r="G25" s="87">
        <v>115260</v>
      </c>
      <c r="H25" s="87">
        <v>8255</v>
      </c>
      <c r="I25" s="87">
        <v>500000</v>
      </c>
      <c r="J25" s="100"/>
      <c r="K25" s="101">
        <v>4943</v>
      </c>
      <c r="L25" s="101">
        <v>161598</v>
      </c>
      <c r="M25" s="87">
        <v>14229</v>
      </c>
      <c r="N25" s="87">
        <v>612049</v>
      </c>
      <c r="O25" s="100"/>
      <c r="P25" s="102">
        <f t="shared" si="0"/>
        <v>1812</v>
      </c>
    </row>
    <row r="26" spans="1:19" x14ac:dyDescent="0.35">
      <c r="A26" s="100"/>
      <c r="B26" s="87">
        <v>19</v>
      </c>
      <c r="C26" s="87">
        <v>49</v>
      </c>
      <c r="D26" s="100"/>
      <c r="E26" s="87">
        <v>6755</v>
      </c>
      <c r="F26" s="100"/>
      <c r="G26" s="87">
        <v>123760</v>
      </c>
      <c r="H26" s="87">
        <v>8500</v>
      </c>
      <c r="I26" s="87">
        <v>500000</v>
      </c>
      <c r="J26" s="100"/>
      <c r="K26" s="101">
        <v>5321</v>
      </c>
      <c r="L26" s="101">
        <v>176605</v>
      </c>
      <c r="M26" s="87">
        <v>15008</v>
      </c>
      <c r="N26" s="87">
        <v>625216</v>
      </c>
      <c r="O26" s="100"/>
      <c r="P26" s="102">
        <f t="shared" si="0"/>
        <v>1434</v>
      </c>
    </row>
    <row r="27" spans="1:19" x14ac:dyDescent="0.35">
      <c r="A27" s="100"/>
      <c r="B27" s="87">
        <v>20</v>
      </c>
      <c r="C27" s="87">
        <v>50</v>
      </c>
      <c r="D27" s="100"/>
      <c r="E27" s="87">
        <v>6755</v>
      </c>
      <c r="F27" s="100"/>
      <c r="G27" s="87">
        <v>132510</v>
      </c>
      <c r="H27" s="87">
        <v>8750</v>
      </c>
      <c r="I27" s="87">
        <v>500000</v>
      </c>
      <c r="J27" s="100"/>
      <c r="K27" s="101">
        <v>5706</v>
      </c>
      <c r="L27" s="101">
        <v>192418</v>
      </c>
      <c r="M27" s="87">
        <v>15813</v>
      </c>
      <c r="N27" s="87">
        <v>639024</v>
      </c>
      <c r="O27" s="100"/>
      <c r="P27" s="102">
        <f t="shared" si="0"/>
        <v>1049</v>
      </c>
    </row>
    <row r="28" spans="1:19" x14ac:dyDescent="0.35">
      <c r="A28" s="100"/>
      <c r="B28" s="87">
        <v>21</v>
      </c>
      <c r="C28" s="87">
        <v>51</v>
      </c>
      <c r="D28" s="100"/>
      <c r="E28" s="87">
        <v>6755</v>
      </c>
      <c r="F28" s="100"/>
      <c r="G28" s="87">
        <v>141505</v>
      </c>
      <c r="H28" s="87">
        <v>8995</v>
      </c>
      <c r="I28" s="87">
        <v>500000</v>
      </c>
      <c r="J28" s="100"/>
      <c r="K28" s="101">
        <v>6110</v>
      </c>
      <c r="L28" s="101">
        <v>209063</v>
      </c>
      <c r="M28" s="87">
        <v>16644</v>
      </c>
      <c r="N28" s="87">
        <v>653462</v>
      </c>
      <c r="O28" s="100"/>
      <c r="P28" s="102">
        <f t="shared" si="0"/>
        <v>645</v>
      </c>
    </row>
    <row r="29" spans="1:19" x14ac:dyDescent="0.35">
      <c r="A29" s="100"/>
      <c r="B29" s="87">
        <v>22</v>
      </c>
      <c r="C29" s="87">
        <v>52</v>
      </c>
      <c r="D29" s="100"/>
      <c r="E29" s="87">
        <v>6755</v>
      </c>
      <c r="F29" s="100"/>
      <c r="G29" s="87">
        <v>150735</v>
      </c>
      <c r="H29" s="87">
        <v>9230</v>
      </c>
      <c r="I29" s="87">
        <v>500000</v>
      </c>
      <c r="J29" s="100"/>
      <c r="K29" s="101">
        <v>6552</v>
      </c>
      <c r="L29" s="101">
        <v>226577</v>
      </c>
      <c r="M29" s="87">
        <v>17515</v>
      </c>
      <c r="N29" s="87">
        <v>668556</v>
      </c>
      <c r="O29" s="100"/>
      <c r="P29" s="102">
        <f t="shared" si="0"/>
        <v>203</v>
      </c>
    </row>
    <row r="30" spans="1:19" x14ac:dyDescent="0.35">
      <c r="A30" s="100"/>
      <c r="B30" s="103">
        <v>23</v>
      </c>
      <c r="C30" s="104">
        <v>53</v>
      </c>
      <c r="D30" s="104"/>
      <c r="E30" s="104">
        <v>6755</v>
      </c>
      <c r="F30" s="104"/>
      <c r="G30" s="104">
        <v>160210</v>
      </c>
      <c r="H30" s="104">
        <v>9475</v>
      </c>
      <c r="I30" s="104">
        <v>500000</v>
      </c>
      <c r="J30" s="104"/>
      <c r="K30" s="104">
        <v>7016</v>
      </c>
      <c r="L30" s="104">
        <v>245008</v>
      </c>
      <c r="M30" s="104">
        <v>18431</v>
      </c>
      <c r="N30" s="104">
        <v>684339</v>
      </c>
      <c r="O30" s="104"/>
      <c r="P30" s="105" t="s">
        <v>160</v>
      </c>
      <c r="Q30" s="106"/>
      <c r="R30" s="106"/>
      <c r="S30" s="107"/>
    </row>
    <row r="31" spans="1:19" x14ac:dyDescent="0.35">
      <c r="A31" s="100"/>
      <c r="B31" s="87">
        <v>24</v>
      </c>
      <c r="C31" s="87">
        <v>54</v>
      </c>
      <c r="D31" s="100"/>
      <c r="E31" s="87">
        <v>6755</v>
      </c>
      <c r="F31" s="100"/>
      <c r="G31" s="87">
        <v>169925</v>
      </c>
      <c r="H31" s="87">
        <v>9715</v>
      </c>
      <c r="I31" s="87">
        <v>500000</v>
      </c>
      <c r="J31" s="100"/>
      <c r="K31" s="101">
        <v>7509</v>
      </c>
      <c r="L31" s="101">
        <v>264394</v>
      </c>
      <c r="M31" s="87">
        <v>19386</v>
      </c>
      <c r="N31" s="87">
        <v>700827</v>
      </c>
      <c r="O31" s="100"/>
      <c r="P31" s="108"/>
    </row>
    <row r="32" spans="1:19" x14ac:dyDescent="0.35">
      <c r="A32" s="100"/>
      <c r="B32" s="87">
        <v>25</v>
      </c>
      <c r="C32" s="87">
        <v>55</v>
      </c>
      <c r="D32" s="100"/>
      <c r="E32" s="87">
        <v>6755</v>
      </c>
      <c r="F32" s="100"/>
      <c r="G32" s="87">
        <v>179880</v>
      </c>
      <c r="H32" s="87">
        <v>9955</v>
      </c>
      <c r="I32" s="87">
        <v>500000</v>
      </c>
      <c r="J32" s="100"/>
      <c r="K32" s="101">
        <v>8027</v>
      </c>
      <c r="L32" s="101">
        <v>284774</v>
      </c>
      <c r="M32" s="87">
        <v>20380</v>
      </c>
      <c r="N32" s="87">
        <v>718037</v>
      </c>
      <c r="O32" s="100"/>
      <c r="P32" s="108"/>
    </row>
    <row r="33" spans="1:19" x14ac:dyDescent="0.35">
      <c r="A33" s="100"/>
      <c r="B33" s="87">
        <v>26</v>
      </c>
      <c r="C33" s="87">
        <v>56</v>
      </c>
      <c r="D33" s="100"/>
      <c r="E33" s="87">
        <v>6755</v>
      </c>
      <c r="F33" s="100"/>
      <c r="G33" s="87">
        <v>190080</v>
      </c>
      <c r="H33" s="87">
        <v>10200</v>
      </c>
      <c r="I33" s="87">
        <v>500000</v>
      </c>
      <c r="J33" s="100"/>
      <c r="K33" s="101">
        <v>8603</v>
      </c>
      <c r="L33" s="101">
        <v>306224</v>
      </c>
      <c r="M33" s="87">
        <v>21450</v>
      </c>
      <c r="N33" s="87">
        <v>736016</v>
      </c>
      <c r="O33" s="100"/>
      <c r="P33" s="108"/>
    </row>
    <row r="34" spans="1:19" x14ac:dyDescent="0.35">
      <c r="A34" s="100"/>
      <c r="B34" s="87">
        <v>27</v>
      </c>
      <c r="C34" s="87">
        <v>57</v>
      </c>
      <c r="D34" s="100"/>
      <c r="E34" s="87">
        <v>6755</v>
      </c>
      <c r="F34" s="100"/>
      <c r="G34" s="87">
        <v>200520</v>
      </c>
      <c r="H34" s="87">
        <v>10440</v>
      </c>
      <c r="I34" s="87">
        <v>500000</v>
      </c>
      <c r="J34" s="100"/>
      <c r="K34" s="101">
        <v>9243</v>
      </c>
      <c r="L34" s="101">
        <v>328820</v>
      </c>
      <c r="M34" s="87">
        <v>22596</v>
      </c>
      <c r="N34" s="87">
        <v>754848</v>
      </c>
      <c r="O34" s="100"/>
      <c r="P34" s="108"/>
    </row>
    <row r="35" spans="1:19" x14ac:dyDescent="0.35">
      <c r="A35" s="100"/>
      <c r="B35" s="87">
        <v>28</v>
      </c>
      <c r="C35" s="87">
        <v>58</v>
      </c>
      <c r="D35" s="100"/>
      <c r="E35" s="87">
        <v>6755</v>
      </c>
      <c r="F35" s="100"/>
      <c r="G35" s="87">
        <v>211205</v>
      </c>
      <c r="H35" s="87">
        <v>10685</v>
      </c>
      <c r="I35" s="87">
        <v>500000</v>
      </c>
      <c r="J35" s="100"/>
      <c r="K35" s="101">
        <v>9929</v>
      </c>
      <c r="L35" s="101">
        <v>352627</v>
      </c>
      <c r="M35" s="87">
        <v>23808</v>
      </c>
      <c r="N35" s="87">
        <v>774601</v>
      </c>
      <c r="O35" s="100"/>
      <c r="P35" s="108"/>
    </row>
    <row r="36" spans="1:19" x14ac:dyDescent="0.35">
      <c r="A36" s="100"/>
      <c r="B36" s="87">
        <v>29</v>
      </c>
      <c r="C36" s="87">
        <v>59</v>
      </c>
      <c r="D36" s="100"/>
      <c r="E36" s="87">
        <v>6755</v>
      </c>
      <c r="F36" s="100"/>
      <c r="G36" s="87">
        <v>222140</v>
      </c>
      <c r="H36" s="87">
        <v>10935</v>
      </c>
      <c r="I36" s="87">
        <v>500000</v>
      </c>
      <c r="J36" s="100"/>
      <c r="K36" s="101">
        <v>10663</v>
      </c>
      <c r="L36" s="101">
        <v>377716</v>
      </c>
      <c r="M36" s="87">
        <v>25089</v>
      </c>
      <c r="N36" s="87">
        <v>795320</v>
      </c>
      <c r="O36" s="100"/>
      <c r="P36" s="108"/>
    </row>
    <row r="37" spans="1:19" x14ac:dyDescent="0.35">
      <c r="A37" s="100"/>
      <c r="B37" s="87">
        <v>30</v>
      </c>
      <c r="C37" s="87">
        <v>60</v>
      </c>
      <c r="D37" s="100"/>
      <c r="E37" s="87">
        <v>6755</v>
      </c>
      <c r="F37" s="100"/>
      <c r="G37" s="87">
        <v>233310</v>
      </c>
      <c r="H37" s="87">
        <v>11170</v>
      </c>
      <c r="I37" s="87">
        <v>500000</v>
      </c>
      <c r="J37" s="100"/>
      <c r="K37" s="101">
        <v>11453</v>
      </c>
      <c r="L37" s="101">
        <v>404141</v>
      </c>
      <c r="M37" s="87">
        <v>26425</v>
      </c>
      <c r="N37" s="87">
        <v>817056</v>
      </c>
      <c r="O37" s="100"/>
      <c r="P37" s="108"/>
    </row>
    <row r="38" spans="1:19" x14ac:dyDescent="0.35">
      <c r="A38" s="100"/>
      <c r="B38" s="87">
        <v>31</v>
      </c>
      <c r="C38" s="87">
        <v>61</v>
      </c>
      <c r="D38" s="100"/>
      <c r="E38" s="87">
        <v>6755</v>
      </c>
      <c r="F38" s="100"/>
      <c r="G38" s="87">
        <v>244730</v>
      </c>
      <c r="H38" s="87">
        <v>11420</v>
      </c>
      <c r="I38" s="87">
        <v>500000</v>
      </c>
      <c r="J38" s="100"/>
      <c r="K38" s="101">
        <v>12283</v>
      </c>
      <c r="L38" s="101">
        <v>431972</v>
      </c>
      <c r="M38" s="87">
        <v>27831</v>
      </c>
      <c r="N38" s="87">
        <v>839847</v>
      </c>
      <c r="O38" s="100"/>
      <c r="P38" s="108"/>
    </row>
    <row r="39" spans="1:19" x14ac:dyDescent="0.35">
      <c r="A39" s="100"/>
      <c r="B39" s="87">
        <v>32</v>
      </c>
      <c r="C39" s="87">
        <v>62</v>
      </c>
      <c r="D39" s="100"/>
      <c r="E39" s="87">
        <v>6755</v>
      </c>
      <c r="F39" s="100"/>
      <c r="G39" s="87">
        <v>256385</v>
      </c>
      <c r="H39" s="87">
        <v>11655</v>
      </c>
      <c r="I39" s="87">
        <v>500000</v>
      </c>
      <c r="J39" s="100"/>
      <c r="K39" s="101">
        <v>13156</v>
      </c>
      <c r="L39" s="101">
        <v>461248</v>
      </c>
      <c r="M39" s="87">
        <v>29276</v>
      </c>
      <c r="N39" s="87">
        <v>863716</v>
      </c>
      <c r="O39" s="100"/>
      <c r="P39" s="108"/>
    </row>
    <row r="40" spans="1:19" x14ac:dyDescent="0.35">
      <c r="A40" s="100"/>
      <c r="B40" s="87">
        <v>33</v>
      </c>
      <c r="C40" s="87">
        <v>63</v>
      </c>
      <c r="D40" s="100"/>
      <c r="E40" s="87">
        <v>6755</v>
      </c>
      <c r="F40" s="100"/>
      <c r="G40" s="87">
        <v>268290</v>
      </c>
      <c r="H40" s="87">
        <v>11905</v>
      </c>
      <c r="I40" s="87">
        <v>500000</v>
      </c>
      <c r="J40" s="100"/>
      <c r="K40" s="101">
        <v>14064</v>
      </c>
      <c r="L40" s="101">
        <v>492035</v>
      </c>
      <c r="M40" s="87">
        <v>30786</v>
      </c>
      <c r="N40" s="87">
        <v>888682</v>
      </c>
      <c r="O40" s="100"/>
      <c r="P40" s="108"/>
    </row>
    <row r="41" spans="1:19" x14ac:dyDescent="0.35">
      <c r="A41" s="100"/>
      <c r="B41" s="87">
        <v>34</v>
      </c>
      <c r="C41" s="87">
        <v>64</v>
      </c>
      <c r="D41" s="100"/>
      <c r="E41" s="87">
        <v>6755</v>
      </c>
      <c r="F41" s="100"/>
      <c r="G41" s="87">
        <v>280445</v>
      </c>
      <c r="H41" s="87">
        <v>12155</v>
      </c>
      <c r="I41" s="87">
        <v>500000</v>
      </c>
      <c r="J41" s="100"/>
      <c r="K41" s="101">
        <v>15026</v>
      </c>
      <c r="L41" s="101">
        <v>524397</v>
      </c>
      <c r="M41" s="87">
        <v>32362</v>
      </c>
      <c r="N41" s="87">
        <v>914771</v>
      </c>
      <c r="O41" s="100"/>
      <c r="P41" s="108"/>
    </row>
    <row r="42" spans="1:19" x14ac:dyDescent="0.35">
      <c r="A42" s="109"/>
      <c r="B42" s="110">
        <v>35</v>
      </c>
      <c r="C42" s="111">
        <v>65</v>
      </c>
      <c r="D42" s="111"/>
      <c r="E42" s="111">
        <v>6755</v>
      </c>
      <c r="F42" s="111"/>
      <c r="G42" s="111">
        <v>292865</v>
      </c>
      <c r="H42" s="111">
        <v>12420</v>
      </c>
      <c r="I42" s="111">
        <v>500000</v>
      </c>
      <c r="J42" s="111"/>
      <c r="K42" s="111">
        <v>16035</v>
      </c>
      <c r="L42" s="111">
        <v>558412</v>
      </c>
      <c r="M42" s="111">
        <v>34014</v>
      </c>
      <c r="N42" s="111">
        <v>942017</v>
      </c>
      <c r="O42" s="111"/>
      <c r="P42" s="112" t="s">
        <v>63</v>
      </c>
      <c r="Q42" s="113"/>
      <c r="R42" s="114" t="s">
        <v>161</v>
      </c>
      <c r="S42" s="115">
        <f>L42</f>
        <v>558412</v>
      </c>
    </row>
    <row r="43" spans="1:19" x14ac:dyDescent="0.35">
      <c r="A43" s="100"/>
      <c r="B43" s="101">
        <v>36</v>
      </c>
      <c r="C43" s="101">
        <v>66</v>
      </c>
      <c r="D43" s="109"/>
      <c r="E43" s="101">
        <v>0</v>
      </c>
      <c r="F43" s="109"/>
      <c r="G43" s="101">
        <v>299440</v>
      </c>
      <c r="H43" s="101">
        <v>6575</v>
      </c>
      <c r="I43" s="101">
        <v>500000</v>
      </c>
      <c r="J43" s="109"/>
      <c r="K43" s="101">
        <v>16736</v>
      </c>
      <c r="L43" s="101">
        <v>587682</v>
      </c>
      <c r="M43" s="101">
        <v>29271</v>
      </c>
      <c r="N43" s="101">
        <v>970094</v>
      </c>
      <c r="O43" s="109"/>
      <c r="R43" s="116" t="s">
        <v>162</v>
      </c>
      <c r="S43" s="117">
        <f>I42</f>
        <v>500000</v>
      </c>
    </row>
    <row r="44" spans="1:19" x14ac:dyDescent="0.35">
      <c r="A44" s="100"/>
      <c r="B44" s="101">
        <v>37</v>
      </c>
      <c r="C44" s="101">
        <v>67</v>
      </c>
      <c r="D44" s="109"/>
      <c r="E44" s="101">
        <v>0</v>
      </c>
      <c r="F44" s="109"/>
      <c r="G44" s="101">
        <v>306060</v>
      </c>
      <c r="H44" s="101">
        <v>6620</v>
      </c>
      <c r="I44" s="101">
        <v>500000</v>
      </c>
      <c r="J44" s="109"/>
      <c r="K44" s="101">
        <v>17459</v>
      </c>
      <c r="L44" s="101">
        <v>618134</v>
      </c>
      <c r="M44" s="101">
        <v>30452</v>
      </c>
      <c r="N44" s="101">
        <v>998762</v>
      </c>
      <c r="O44" s="109"/>
      <c r="R44" s="118" t="s">
        <v>163</v>
      </c>
      <c r="S44" s="119">
        <f>S42-S43</f>
        <v>58412</v>
      </c>
    </row>
    <row r="45" spans="1:19" x14ac:dyDescent="0.35">
      <c r="A45" s="100"/>
      <c r="B45" s="87">
        <v>38</v>
      </c>
      <c r="C45" s="87">
        <v>68</v>
      </c>
      <c r="D45" s="100"/>
      <c r="E45" s="87">
        <v>0</v>
      </c>
      <c r="F45" s="100"/>
      <c r="G45" s="87">
        <v>312735</v>
      </c>
      <c r="H45" s="87">
        <v>6675</v>
      </c>
      <c r="I45" s="87">
        <v>500000</v>
      </c>
      <c r="J45" s="100"/>
      <c r="K45" s="101">
        <v>18399</v>
      </c>
      <c r="L45" s="101">
        <v>650013</v>
      </c>
      <c r="M45" s="87">
        <v>31879</v>
      </c>
      <c r="N45" s="87">
        <v>1028224</v>
      </c>
      <c r="O45" s="100"/>
    </row>
    <row r="46" spans="1:19" x14ac:dyDescent="0.35">
      <c r="A46" s="100"/>
      <c r="B46" s="87">
        <v>39</v>
      </c>
      <c r="C46" s="87">
        <v>69</v>
      </c>
      <c r="D46" s="100"/>
      <c r="E46" s="87">
        <v>0</v>
      </c>
      <c r="F46" s="100"/>
      <c r="G46" s="87">
        <v>319460</v>
      </c>
      <c r="H46" s="87">
        <v>6725</v>
      </c>
      <c r="I46" s="87">
        <v>500000</v>
      </c>
      <c r="J46" s="100"/>
      <c r="K46" s="101">
        <v>19455</v>
      </c>
      <c r="L46" s="101">
        <v>683446</v>
      </c>
      <c r="M46" s="87">
        <v>33433</v>
      </c>
      <c r="N46" s="87">
        <v>1058696</v>
      </c>
      <c r="O46" s="100"/>
    </row>
    <row r="47" spans="1:19" x14ac:dyDescent="0.35">
      <c r="A47" s="100"/>
      <c r="B47" s="87">
        <v>40</v>
      </c>
      <c r="C47" s="87">
        <v>70</v>
      </c>
      <c r="D47" s="100"/>
      <c r="E47" s="87">
        <v>0</v>
      </c>
      <c r="F47" s="100"/>
      <c r="G47" s="87">
        <v>326230</v>
      </c>
      <c r="H47" s="87">
        <v>6770</v>
      </c>
      <c r="I47" s="87">
        <v>500000</v>
      </c>
      <c r="J47" s="100"/>
      <c r="K47" s="101">
        <v>20559</v>
      </c>
      <c r="L47" s="101">
        <v>718488</v>
      </c>
      <c r="M47" s="87">
        <v>35042</v>
      </c>
      <c r="N47" s="87">
        <v>1090251</v>
      </c>
      <c r="O47" s="100"/>
    </row>
    <row r="48" spans="1:19" x14ac:dyDescent="0.35">
      <c r="A48" s="100"/>
      <c r="B48" s="87">
        <v>41</v>
      </c>
      <c r="C48" s="87">
        <v>71</v>
      </c>
      <c r="D48" s="100"/>
      <c r="E48" s="87">
        <v>0</v>
      </c>
      <c r="F48" s="100"/>
      <c r="G48" s="87">
        <v>333020</v>
      </c>
      <c r="H48" s="87">
        <v>6790</v>
      </c>
      <c r="I48" s="87">
        <v>500000</v>
      </c>
      <c r="J48" s="100"/>
      <c r="K48" s="101">
        <v>21738</v>
      </c>
      <c r="L48" s="101">
        <v>755184</v>
      </c>
      <c r="M48" s="87">
        <v>36696</v>
      </c>
      <c r="N48" s="87">
        <v>1122940</v>
      </c>
      <c r="O48" s="100"/>
    </row>
    <row r="49" spans="1:15" x14ac:dyDescent="0.35">
      <c r="A49" s="100"/>
      <c r="B49" s="87">
        <v>42</v>
      </c>
      <c r="C49" s="87">
        <v>72</v>
      </c>
      <c r="D49" s="100"/>
      <c r="E49" s="87">
        <v>0</v>
      </c>
      <c r="F49" s="100"/>
      <c r="G49" s="87">
        <v>339810</v>
      </c>
      <c r="H49" s="87">
        <v>6790</v>
      </c>
      <c r="I49" s="87">
        <v>500000</v>
      </c>
      <c r="J49" s="100"/>
      <c r="K49" s="101">
        <v>23006</v>
      </c>
      <c r="L49" s="101">
        <v>793588</v>
      </c>
      <c r="M49" s="87">
        <v>38403</v>
      </c>
      <c r="N49" s="87">
        <v>1156845</v>
      </c>
      <c r="O49" s="100"/>
    </row>
    <row r="50" spans="1:15" x14ac:dyDescent="0.35">
      <c r="A50" s="100"/>
      <c r="B50" s="87">
        <v>43</v>
      </c>
      <c r="C50" s="87">
        <v>73</v>
      </c>
      <c r="D50" s="100"/>
      <c r="E50" s="87">
        <v>0</v>
      </c>
      <c r="F50" s="100"/>
      <c r="G50" s="87">
        <v>346575</v>
      </c>
      <c r="H50" s="87">
        <v>6765</v>
      </c>
      <c r="I50" s="87">
        <v>500000</v>
      </c>
      <c r="J50" s="100"/>
      <c r="K50" s="101">
        <v>24358</v>
      </c>
      <c r="L50" s="101">
        <v>833739</v>
      </c>
      <c r="M50" s="87">
        <v>40151</v>
      </c>
      <c r="N50" s="87">
        <v>1192048</v>
      </c>
      <c r="O50" s="100"/>
    </row>
    <row r="51" spans="1:15" x14ac:dyDescent="0.35">
      <c r="A51" s="100"/>
      <c r="B51" s="87">
        <v>44</v>
      </c>
      <c r="C51" s="87">
        <v>74</v>
      </c>
      <c r="D51" s="100"/>
      <c r="E51" s="87">
        <v>0</v>
      </c>
      <c r="F51" s="100"/>
      <c r="G51" s="87">
        <v>353280</v>
      </c>
      <c r="H51" s="87">
        <v>6705</v>
      </c>
      <c r="I51" s="87">
        <v>500000</v>
      </c>
      <c r="J51" s="100"/>
      <c r="K51" s="101">
        <v>25789</v>
      </c>
      <c r="L51" s="101">
        <v>875659</v>
      </c>
      <c r="M51" s="87">
        <v>41920</v>
      </c>
      <c r="N51" s="87">
        <v>1228620</v>
      </c>
      <c r="O51" s="100"/>
    </row>
    <row r="52" spans="1:15" x14ac:dyDescent="0.35">
      <c r="A52" s="100"/>
      <c r="B52" s="87">
        <v>45</v>
      </c>
      <c r="C52" s="87">
        <v>75</v>
      </c>
      <c r="D52" s="100"/>
      <c r="E52" s="87">
        <v>0</v>
      </c>
      <c r="F52" s="100"/>
      <c r="G52" s="87">
        <v>359915</v>
      </c>
      <c r="H52" s="87">
        <v>6635</v>
      </c>
      <c r="I52" s="87">
        <v>500000</v>
      </c>
      <c r="J52" s="100"/>
      <c r="K52" s="101">
        <v>27290</v>
      </c>
      <c r="L52" s="101">
        <v>919395</v>
      </c>
      <c r="M52" s="87">
        <v>43736</v>
      </c>
      <c r="N52" s="87">
        <v>1266620</v>
      </c>
      <c r="O52" s="100"/>
    </row>
    <row r="53" spans="1:15" x14ac:dyDescent="0.35">
      <c r="A53" s="100"/>
      <c r="B53" s="87">
        <v>46</v>
      </c>
      <c r="C53" s="87">
        <v>76</v>
      </c>
      <c r="D53" s="100"/>
      <c r="E53" s="87">
        <v>0</v>
      </c>
      <c r="F53" s="100"/>
      <c r="G53" s="87">
        <v>366475</v>
      </c>
      <c r="H53" s="87">
        <v>6560</v>
      </c>
      <c r="I53" s="87">
        <v>500000</v>
      </c>
      <c r="J53" s="100"/>
      <c r="K53" s="101">
        <v>28968</v>
      </c>
      <c r="L53" s="101">
        <v>965120</v>
      </c>
      <c r="M53" s="87">
        <v>45724</v>
      </c>
      <c r="N53" s="87">
        <v>1306210</v>
      </c>
      <c r="O53" s="100"/>
    </row>
    <row r="54" spans="1:15" x14ac:dyDescent="0.35">
      <c r="A54" s="100"/>
      <c r="B54" s="87">
        <v>47</v>
      </c>
      <c r="C54" s="87">
        <v>77</v>
      </c>
      <c r="D54" s="100"/>
      <c r="E54" s="87">
        <v>0</v>
      </c>
      <c r="F54" s="100"/>
      <c r="G54" s="87">
        <v>372960</v>
      </c>
      <c r="H54" s="87">
        <v>6485</v>
      </c>
      <c r="I54" s="87">
        <v>500000</v>
      </c>
      <c r="J54" s="100"/>
      <c r="K54" s="101">
        <v>30588</v>
      </c>
      <c r="L54" s="101">
        <v>1012790</v>
      </c>
      <c r="M54" s="87">
        <v>47670</v>
      </c>
      <c r="N54" s="87">
        <v>1347353</v>
      </c>
      <c r="O54" s="100"/>
    </row>
    <row r="55" spans="1:15" x14ac:dyDescent="0.35">
      <c r="A55" s="100"/>
      <c r="B55" s="87">
        <v>48</v>
      </c>
      <c r="C55" s="87">
        <v>78</v>
      </c>
      <c r="D55" s="100"/>
      <c r="E55" s="87">
        <v>0</v>
      </c>
      <c r="F55" s="100"/>
      <c r="G55" s="87">
        <v>379380</v>
      </c>
      <c r="H55" s="87">
        <v>6420</v>
      </c>
      <c r="I55" s="87">
        <v>500000</v>
      </c>
      <c r="J55" s="100"/>
      <c r="K55" s="101">
        <v>32261</v>
      </c>
      <c r="L55" s="101">
        <v>1062487</v>
      </c>
      <c r="M55" s="87">
        <v>49697</v>
      </c>
      <c r="N55" s="87">
        <v>1390033</v>
      </c>
      <c r="O55" s="100"/>
    </row>
    <row r="56" spans="1:15" x14ac:dyDescent="0.35">
      <c r="A56" s="100"/>
      <c r="B56" s="87">
        <v>49</v>
      </c>
      <c r="C56" s="87">
        <v>79</v>
      </c>
      <c r="D56" s="100"/>
      <c r="E56" s="87">
        <v>0</v>
      </c>
      <c r="F56" s="100"/>
      <c r="G56" s="87">
        <v>385740</v>
      </c>
      <c r="H56" s="87">
        <v>6360</v>
      </c>
      <c r="I56" s="87">
        <v>500000</v>
      </c>
      <c r="J56" s="100"/>
      <c r="K56" s="101">
        <v>33985</v>
      </c>
      <c r="L56" s="101">
        <v>1114284</v>
      </c>
      <c r="M56" s="87">
        <v>51798</v>
      </c>
      <c r="N56" s="87">
        <v>1434274</v>
      </c>
      <c r="O56" s="100"/>
    </row>
    <row r="57" spans="1:15" x14ac:dyDescent="0.35">
      <c r="A57" s="100"/>
      <c r="B57" s="87">
        <v>50</v>
      </c>
      <c r="C57" s="87">
        <v>80</v>
      </c>
      <c r="D57" s="100"/>
      <c r="E57" s="87">
        <v>0</v>
      </c>
      <c r="F57" s="100"/>
      <c r="G57" s="87">
        <v>392030</v>
      </c>
      <c r="H57" s="87">
        <v>6290</v>
      </c>
      <c r="I57" s="87">
        <v>500000</v>
      </c>
      <c r="J57" s="100"/>
      <c r="K57" s="101">
        <v>35776</v>
      </c>
      <c r="L57" s="101">
        <v>1168229</v>
      </c>
      <c r="M57" s="87">
        <v>53944</v>
      </c>
      <c r="N57" s="87">
        <v>1480117</v>
      </c>
      <c r="O57" s="100"/>
    </row>
    <row r="58" spans="1:15" x14ac:dyDescent="0.35">
      <c r="A58" s="100"/>
      <c r="B58" s="87">
        <v>51</v>
      </c>
      <c r="C58" s="87">
        <v>81</v>
      </c>
      <c r="D58" s="100"/>
      <c r="E58" s="87">
        <v>0</v>
      </c>
      <c r="F58" s="100"/>
      <c r="G58" s="87">
        <v>398230</v>
      </c>
      <c r="H58" s="87">
        <v>6200</v>
      </c>
      <c r="I58" s="87">
        <v>500000</v>
      </c>
      <c r="J58" s="100"/>
      <c r="K58" s="101">
        <v>37652</v>
      </c>
      <c r="L58" s="101">
        <v>1224356</v>
      </c>
      <c r="M58" s="87">
        <v>56127</v>
      </c>
      <c r="N58" s="87">
        <v>1527622</v>
      </c>
      <c r="O58" s="100"/>
    </row>
    <row r="59" spans="1:15" x14ac:dyDescent="0.35">
      <c r="A59" s="100"/>
      <c r="B59" s="87">
        <v>52</v>
      </c>
      <c r="C59" s="87">
        <v>82</v>
      </c>
      <c r="D59" s="100"/>
      <c r="E59" s="87">
        <v>0</v>
      </c>
      <c r="F59" s="100"/>
      <c r="G59" s="87">
        <v>404315</v>
      </c>
      <c r="H59" s="87">
        <v>6085</v>
      </c>
      <c r="I59" s="87">
        <v>500000</v>
      </c>
      <c r="J59" s="100"/>
      <c r="K59" s="101">
        <v>39599</v>
      </c>
      <c r="L59" s="101">
        <v>1282664</v>
      </c>
      <c r="M59" s="87">
        <v>58308</v>
      </c>
      <c r="N59" s="87">
        <v>1576843</v>
      </c>
      <c r="O59" s="100"/>
    </row>
    <row r="60" spans="1:15" x14ac:dyDescent="0.35">
      <c r="A60" s="100"/>
      <c r="B60" s="87">
        <v>53</v>
      </c>
      <c r="C60" s="87">
        <v>83</v>
      </c>
      <c r="D60" s="100"/>
      <c r="E60" s="87">
        <v>0</v>
      </c>
      <c r="F60" s="100"/>
      <c r="G60" s="87">
        <v>410290</v>
      </c>
      <c r="H60" s="87">
        <v>5975</v>
      </c>
      <c r="I60" s="87">
        <v>500000</v>
      </c>
      <c r="J60" s="100"/>
      <c r="K60" s="101">
        <v>41591</v>
      </c>
      <c r="L60" s="101">
        <v>1343211</v>
      </c>
      <c r="M60" s="87">
        <v>60547</v>
      </c>
      <c r="N60" s="87">
        <v>1627805</v>
      </c>
      <c r="O60" s="100"/>
    </row>
    <row r="61" spans="1:15" x14ac:dyDescent="0.35">
      <c r="A61" s="100"/>
      <c r="B61" s="87">
        <v>54</v>
      </c>
      <c r="C61" s="87">
        <v>84</v>
      </c>
      <c r="D61" s="100"/>
      <c r="E61" s="87">
        <v>0</v>
      </c>
      <c r="F61" s="100"/>
      <c r="G61" s="87">
        <v>416075</v>
      </c>
      <c r="H61" s="87">
        <v>5785</v>
      </c>
      <c r="I61" s="87">
        <v>500000</v>
      </c>
      <c r="J61" s="100"/>
      <c r="K61" s="101">
        <v>43853</v>
      </c>
      <c r="L61" s="101">
        <v>1406002</v>
      </c>
      <c r="M61" s="87">
        <v>62791</v>
      </c>
      <c r="N61" s="87">
        <v>1680751</v>
      </c>
      <c r="O61" s="100"/>
    </row>
    <row r="62" spans="1:15" x14ac:dyDescent="0.35">
      <c r="A62" s="100"/>
      <c r="B62" s="87">
        <v>55</v>
      </c>
      <c r="C62" s="87">
        <v>85</v>
      </c>
      <c r="D62" s="100"/>
      <c r="E62" s="87">
        <v>0</v>
      </c>
      <c r="F62" s="100"/>
      <c r="G62" s="87">
        <v>421640</v>
      </c>
      <c r="H62" s="87">
        <v>5565</v>
      </c>
      <c r="I62" s="87">
        <v>500000</v>
      </c>
      <c r="J62" s="100"/>
      <c r="K62" s="101">
        <v>46227</v>
      </c>
      <c r="L62" s="101">
        <v>1471028</v>
      </c>
      <c r="M62" s="87">
        <v>65026</v>
      </c>
      <c r="N62" s="87">
        <v>1735824</v>
      </c>
      <c r="O62" s="100"/>
    </row>
    <row r="63" spans="1:15" x14ac:dyDescent="0.35">
      <c r="A63" s="100"/>
      <c r="B63" s="87">
        <v>56</v>
      </c>
      <c r="C63" s="87">
        <v>86</v>
      </c>
      <c r="D63" s="100"/>
      <c r="E63" s="87">
        <v>0</v>
      </c>
      <c r="F63" s="100"/>
      <c r="G63" s="87">
        <v>426940</v>
      </c>
      <c r="H63" s="87">
        <v>5300</v>
      </c>
      <c r="I63" s="87">
        <v>500000</v>
      </c>
      <c r="J63" s="100"/>
      <c r="K63" s="101">
        <v>48948</v>
      </c>
      <c r="L63" s="101">
        <v>1538466</v>
      </c>
      <c r="M63" s="87">
        <v>67438</v>
      </c>
      <c r="N63" s="87">
        <v>1793363</v>
      </c>
      <c r="O63" s="100"/>
    </row>
    <row r="64" spans="1:15" x14ac:dyDescent="0.35">
      <c r="A64" s="100"/>
      <c r="B64" s="87">
        <v>57</v>
      </c>
      <c r="C64" s="87">
        <v>87</v>
      </c>
      <c r="D64" s="100"/>
      <c r="E64" s="87">
        <v>0</v>
      </c>
      <c r="F64" s="100"/>
      <c r="G64" s="87">
        <v>431930</v>
      </c>
      <c r="H64" s="87">
        <v>4990</v>
      </c>
      <c r="I64" s="87">
        <v>500000</v>
      </c>
      <c r="J64" s="100"/>
      <c r="K64" s="101">
        <v>51566</v>
      </c>
      <c r="L64" s="101">
        <v>1608021</v>
      </c>
      <c r="M64" s="87">
        <v>69555</v>
      </c>
      <c r="N64" s="87">
        <v>1853305</v>
      </c>
      <c r="O64" s="100"/>
    </row>
    <row r="65" spans="1:15" x14ac:dyDescent="0.35">
      <c r="A65" s="100"/>
      <c r="B65" s="87">
        <v>58</v>
      </c>
      <c r="C65" s="87">
        <v>88</v>
      </c>
      <c r="D65" s="100"/>
      <c r="E65" s="87">
        <v>0</v>
      </c>
      <c r="F65" s="100"/>
      <c r="G65" s="87">
        <v>436580</v>
      </c>
      <c r="H65" s="87">
        <v>4650</v>
      </c>
      <c r="I65" s="87">
        <v>500000</v>
      </c>
      <c r="J65" s="100"/>
      <c r="K65" s="101">
        <v>54279</v>
      </c>
      <c r="L65" s="101">
        <v>1679605</v>
      </c>
      <c r="M65" s="87">
        <v>71584</v>
      </c>
      <c r="N65" s="87">
        <v>1915711</v>
      </c>
      <c r="O65" s="100"/>
    </row>
    <row r="66" spans="1:15" x14ac:dyDescent="0.35">
      <c r="A66" s="100"/>
      <c r="B66" s="87">
        <v>59</v>
      </c>
      <c r="C66" s="87">
        <v>89</v>
      </c>
      <c r="D66" s="100"/>
      <c r="E66" s="87">
        <v>0</v>
      </c>
      <c r="F66" s="100"/>
      <c r="G66" s="87">
        <v>440845</v>
      </c>
      <c r="H66" s="87">
        <v>4265</v>
      </c>
      <c r="I66" s="87">
        <v>500000</v>
      </c>
      <c r="J66" s="100"/>
      <c r="K66" s="101">
        <v>57092</v>
      </c>
      <c r="L66" s="101">
        <v>1753105</v>
      </c>
      <c r="M66" s="87">
        <v>73501</v>
      </c>
      <c r="N66" s="87">
        <v>1980688</v>
      </c>
      <c r="O66" s="100"/>
    </row>
    <row r="67" spans="1:15" x14ac:dyDescent="0.35">
      <c r="A67" s="100"/>
      <c r="B67" s="87">
        <v>60</v>
      </c>
      <c r="C67" s="87">
        <v>90</v>
      </c>
      <c r="D67" s="100"/>
      <c r="E67" s="87">
        <v>0</v>
      </c>
      <c r="F67" s="100"/>
      <c r="G67" s="87">
        <v>444725</v>
      </c>
      <c r="H67" s="87">
        <v>3880</v>
      </c>
      <c r="I67" s="87">
        <v>500000</v>
      </c>
      <c r="J67" s="100"/>
      <c r="K67" s="101">
        <v>59949</v>
      </c>
      <c r="L67" s="101">
        <v>1828487</v>
      </c>
      <c r="M67" s="87">
        <v>75382</v>
      </c>
      <c r="N67" s="87">
        <v>2048298</v>
      </c>
      <c r="O67" s="100"/>
    </row>
    <row r="68" spans="1:15" x14ac:dyDescent="0.35">
      <c r="A68" s="100"/>
      <c r="B68" s="87">
        <v>61</v>
      </c>
      <c r="C68" s="87">
        <v>91</v>
      </c>
      <c r="D68" s="100"/>
      <c r="E68" s="87">
        <v>0</v>
      </c>
      <c r="F68" s="100"/>
      <c r="G68" s="87">
        <v>448225</v>
      </c>
      <c r="H68" s="87">
        <v>3500</v>
      </c>
      <c r="I68" s="87">
        <v>500000</v>
      </c>
      <c r="J68" s="100"/>
      <c r="K68" s="101">
        <v>62844</v>
      </c>
      <c r="L68" s="101">
        <v>1905726</v>
      </c>
      <c r="M68" s="87">
        <v>77239</v>
      </c>
      <c r="N68" s="87">
        <v>2118594</v>
      </c>
      <c r="O68" s="100"/>
    </row>
    <row r="69" spans="1:15" x14ac:dyDescent="0.35">
      <c r="A69" s="100"/>
      <c r="B69" s="87">
        <v>62</v>
      </c>
      <c r="C69" s="87">
        <v>92</v>
      </c>
      <c r="D69" s="100"/>
      <c r="E69" s="87">
        <v>0</v>
      </c>
      <c r="F69" s="100"/>
      <c r="G69" s="87">
        <v>451380</v>
      </c>
      <c r="H69" s="87">
        <v>3155</v>
      </c>
      <c r="I69" s="87">
        <v>500000</v>
      </c>
      <c r="J69" s="100"/>
      <c r="K69" s="101">
        <v>65753</v>
      </c>
      <c r="L69" s="101">
        <v>1984885</v>
      </c>
      <c r="M69" s="87">
        <v>79159</v>
      </c>
      <c r="N69" s="87">
        <v>2191605</v>
      </c>
      <c r="O69" s="100"/>
    </row>
    <row r="70" spans="1:15" x14ac:dyDescent="0.35">
      <c r="A70" s="100"/>
      <c r="B70" s="87">
        <v>63</v>
      </c>
      <c r="C70" s="87">
        <v>93</v>
      </c>
      <c r="D70" s="100"/>
      <c r="E70" s="87">
        <v>0</v>
      </c>
      <c r="F70" s="100"/>
      <c r="G70" s="87">
        <v>454235</v>
      </c>
      <c r="H70" s="87">
        <v>2855</v>
      </c>
      <c r="I70" s="87">
        <v>500000</v>
      </c>
      <c r="J70" s="100"/>
      <c r="K70" s="101">
        <v>68621</v>
      </c>
      <c r="L70" s="101">
        <v>2066064</v>
      </c>
      <c r="M70" s="87">
        <v>81179</v>
      </c>
      <c r="N70" s="87">
        <v>2267309</v>
      </c>
      <c r="O70" s="100"/>
    </row>
    <row r="71" spans="1:15" x14ac:dyDescent="0.35">
      <c r="A71" s="100"/>
      <c r="B71" s="87">
        <v>64</v>
      </c>
      <c r="C71" s="87">
        <v>94</v>
      </c>
      <c r="D71" s="100"/>
      <c r="E71" s="87">
        <v>0</v>
      </c>
      <c r="F71" s="100"/>
      <c r="G71" s="87">
        <v>456845</v>
      </c>
      <c r="H71" s="87">
        <v>2610</v>
      </c>
      <c r="I71" s="87">
        <v>500000</v>
      </c>
      <c r="J71" s="100"/>
      <c r="K71" s="101">
        <v>71502</v>
      </c>
      <c r="L71" s="101">
        <v>2149444</v>
      </c>
      <c r="M71" s="87">
        <v>83380</v>
      </c>
      <c r="N71" s="87">
        <v>2345724</v>
      </c>
      <c r="O71" s="100"/>
    </row>
    <row r="72" spans="1:15" x14ac:dyDescent="0.35">
      <c r="A72" s="100"/>
      <c r="B72" s="87">
        <v>65</v>
      </c>
      <c r="C72" s="87">
        <v>95</v>
      </c>
      <c r="D72" s="100"/>
      <c r="E72" s="87">
        <v>0</v>
      </c>
      <c r="F72" s="100"/>
      <c r="G72" s="87">
        <v>459320</v>
      </c>
      <c r="H72" s="87">
        <v>2475</v>
      </c>
      <c r="I72" s="87">
        <v>500000</v>
      </c>
      <c r="J72" s="100"/>
      <c r="K72" s="101">
        <v>74268</v>
      </c>
      <c r="L72" s="101">
        <v>2235351</v>
      </c>
      <c r="M72" s="87">
        <v>85906</v>
      </c>
      <c r="N72" s="87">
        <v>2426745</v>
      </c>
      <c r="O72" s="100"/>
    </row>
    <row r="73" spans="1:15" x14ac:dyDescent="0.35">
      <c r="A73" s="100"/>
      <c r="B73" s="87">
        <v>66</v>
      </c>
      <c r="C73" s="87">
        <v>96</v>
      </c>
      <c r="D73" s="100"/>
      <c r="E73" s="87">
        <v>0</v>
      </c>
      <c r="F73" s="100"/>
      <c r="G73" s="87">
        <v>461820</v>
      </c>
      <c r="H73" s="87">
        <v>2500</v>
      </c>
      <c r="I73" s="87">
        <v>500000</v>
      </c>
      <c r="J73" s="100"/>
      <c r="K73" s="101">
        <v>76869</v>
      </c>
      <c r="L73" s="101">
        <v>2324384</v>
      </c>
      <c r="M73" s="87">
        <v>89033</v>
      </c>
      <c r="N73" s="87">
        <v>2510192</v>
      </c>
      <c r="O73" s="100"/>
    </row>
    <row r="74" spans="1:15" x14ac:dyDescent="0.35">
      <c r="A74" s="100"/>
      <c r="B74" s="87">
        <v>67</v>
      </c>
      <c r="C74" s="87">
        <v>97</v>
      </c>
      <c r="D74" s="100"/>
      <c r="E74" s="87">
        <v>0</v>
      </c>
      <c r="F74" s="100"/>
      <c r="G74" s="87">
        <v>464205</v>
      </c>
      <c r="H74" s="87">
        <v>2385</v>
      </c>
      <c r="I74" s="87">
        <v>500000</v>
      </c>
      <c r="J74" s="100"/>
      <c r="K74" s="101">
        <v>79775</v>
      </c>
      <c r="L74" s="101">
        <v>2416171</v>
      </c>
      <c r="M74" s="87">
        <v>91787</v>
      </c>
      <c r="N74" s="87">
        <v>2596321</v>
      </c>
      <c r="O74" s="100"/>
    </row>
    <row r="75" spans="1:15" x14ac:dyDescent="0.35">
      <c r="A75" s="100"/>
      <c r="B75" s="87">
        <v>68</v>
      </c>
      <c r="C75" s="87">
        <v>98</v>
      </c>
      <c r="D75" s="100"/>
      <c r="E75" s="87">
        <v>0</v>
      </c>
      <c r="F75" s="100"/>
      <c r="G75" s="87">
        <v>466475</v>
      </c>
      <c r="H75" s="87">
        <v>2270</v>
      </c>
      <c r="I75" s="87">
        <v>500000</v>
      </c>
      <c r="J75" s="100"/>
      <c r="K75" s="101">
        <v>82785</v>
      </c>
      <c r="L75" s="101">
        <v>2510765</v>
      </c>
      <c r="M75" s="87">
        <v>94594</v>
      </c>
      <c r="N75" s="87">
        <v>2685257</v>
      </c>
      <c r="O75" s="100"/>
    </row>
    <row r="76" spans="1:15" x14ac:dyDescent="0.35">
      <c r="A76" s="100"/>
      <c r="B76" s="87">
        <v>69</v>
      </c>
      <c r="C76" s="87">
        <v>99</v>
      </c>
      <c r="D76" s="100"/>
      <c r="E76" s="87">
        <v>0</v>
      </c>
      <c r="F76" s="100"/>
      <c r="G76" s="87">
        <v>468590</v>
      </c>
      <c r="H76" s="87">
        <v>2115</v>
      </c>
      <c r="I76" s="87">
        <v>500000</v>
      </c>
      <c r="J76" s="100"/>
      <c r="K76" s="101">
        <v>85957</v>
      </c>
      <c r="L76" s="101">
        <v>2608098</v>
      </c>
      <c r="M76" s="87">
        <v>97333</v>
      </c>
      <c r="N76" s="87">
        <v>2777163</v>
      </c>
      <c r="O76" s="100"/>
    </row>
    <row r="77" spans="1:15" x14ac:dyDescent="0.35">
      <c r="A77" s="100"/>
      <c r="B77" s="87">
        <v>70</v>
      </c>
      <c r="C77" s="87">
        <v>100</v>
      </c>
      <c r="D77" s="100"/>
      <c r="E77" s="87">
        <v>0</v>
      </c>
      <c r="F77" s="100"/>
      <c r="G77" s="87">
        <v>470515</v>
      </c>
      <c r="H77" s="87">
        <v>1925</v>
      </c>
      <c r="I77" s="87">
        <v>500000</v>
      </c>
      <c r="J77" s="100"/>
      <c r="K77" s="101">
        <v>89276</v>
      </c>
      <c r="L77" s="101">
        <v>2708097</v>
      </c>
      <c r="M77" s="87">
        <v>99999</v>
      </c>
      <c r="N77" s="87">
        <v>2872201</v>
      </c>
      <c r="O77" s="100"/>
    </row>
    <row r="78" spans="1:15" x14ac:dyDescent="0.35">
      <c r="A78" s="100"/>
      <c r="B78" s="87">
        <v>71</v>
      </c>
      <c r="C78" s="87">
        <v>101</v>
      </c>
      <c r="D78" s="100"/>
      <c r="E78" s="87">
        <v>0</v>
      </c>
      <c r="F78" s="100"/>
      <c r="G78" s="87">
        <v>472225</v>
      </c>
      <c r="H78" s="87">
        <v>1710</v>
      </c>
      <c r="I78" s="87">
        <v>500000</v>
      </c>
      <c r="J78" s="100"/>
      <c r="K78" s="101">
        <v>92579</v>
      </c>
      <c r="L78" s="101">
        <v>2810509</v>
      </c>
      <c r="M78" s="87">
        <v>102412</v>
      </c>
      <c r="N78" s="87">
        <v>2970374</v>
      </c>
      <c r="O78" s="100"/>
    </row>
    <row r="79" spans="1:15" x14ac:dyDescent="0.35">
      <c r="A79" s="100"/>
      <c r="B79" s="87">
        <v>72</v>
      </c>
      <c r="C79" s="87">
        <v>102</v>
      </c>
      <c r="D79" s="100"/>
      <c r="E79" s="87">
        <v>0</v>
      </c>
      <c r="F79" s="100"/>
      <c r="G79" s="87">
        <v>473775</v>
      </c>
      <c r="H79" s="87">
        <v>1550</v>
      </c>
      <c r="I79" s="87">
        <v>500000</v>
      </c>
      <c r="J79" s="100"/>
      <c r="K79" s="101">
        <v>95732</v>
      </c>
      <c r="L79" s="101">
        <v>2915477</v>
      </c>
      <c r="M79" s="87">
        <v>104967</v>
      </c>
      <c r="N79" s="87">
        <v>3071552</v>
      </c>
      <c r="O79" s="100"/>
    </row>
    <row r="80" spans="1:15" x14ac:dyDescent="0.35">
      <c r="A80" s="100"/>
      <c r="B80" s="87">
        <v>73</v>
      </c>
      <c r="C80" s="87">
        <v>103</v>
      </c>
      <c r="D80" s="100"/>
      <c r="E80" s="87">
        <v>0</v>
      </c>
      <c r="F80" s="100"/>
      <c r="G80" s="87">
        <v>475180</v>
      </c>
      <c r="H80" s="87">
        <v>1405</v>
      </c>
      <c r="I80" s="87">
        <v>500000</v>
      </c>
      <c r="J80" s="100"/>
      <c r="K80" s="101">
        <v>98982</v>
      </c>
      <c r="L80" s="101">
        <v>3023096</v>
      </c>
      <c r="M80" s="87">
        <v>107619</v>
      </c>
      <c r="N80" s="87">
        <v>3175833</v>
      </c>
      <c r="O80" s="100"/>
    </row>
    <row r="81" spans="1:15" x14ac:dyDescent="0.35">
      <c r="A81" s="100"/>
      <c r="B81" s="87">
        <v>74</v>
      </c>
      <c r="C81" s="87">
        <v>104</v>
      </c>
      <c r="D81" s="100"/>
      <c r="E81" s="87">
        <v>0</v>
      </c>
      <c r="F81" s="100"/>
      <c r="G81" s="87">
        <v>476450</v>
      </c>
      <c r="H81" s="87">
        <v>1270</v>
      </c>
      <c r="I81" s="87">
        <v>500000</v>
      </c>
      <c r="J81" s="100"/>
      <c r="K81" s="101">
        <v>102333</v>
      </c>
      <c r="L81" s="101">
        <v>3133520</v>
      </c>
      <c r="M81" s="87">
        <v>110424</v>
      </c>
      <c r="N81" s="87">
        <v>3283336</v>
      </c>
      <c r="O81" s="100"/>
    </row>
    <row r="82" spans="1:15" x14ac:dyDescent="0.35">
      <c r="A82" s="100"/>
      <c r="B82" s="87">
        <v>75</v>
      </c>
      <c r="C82" s="87">
        <v>105</v>
      </c>
      <c r="D82" s="100"/>
      <c r="E82" s="87">
        <v>0</v>
      </c>
      <c r="F82" s="100"/>
      <c r="G82" s="87">
        <v>477630</v>
      </c>
      <c r="H82" s="87">
        <v>1180</v>
      </c>
      <c r="I82" s="87">
        <v>500000</v>
      </c>
      <c r="J82" s="100"/>
      <c r="K82" s="101">
        <v>105788</v>
      </c>
      <c r="L82" s="101">
        <v>3247050</v>
      </c>
      <c r="M82" s="87">
        <v>113530</v>
      </c>
      <c r="N82" s="87">
        <v>3394182</v>
      </c>
      <c r="O82" s="100"/>
    </row>
    <row r="83" spans="1:15" x14ac:dyDescent="0.35">
      <c r="A83" s="100"/>
      <c r="B83" s="87">
        <v>76</v>
      </c>
      <c r="C83" s="87">
        <v>106</v>
      </c>
      <c r="D83" s="100"/>
      <c r="E83" s="87">
        <v>0</v>
      </c>
      <c r="F83" s="100"/>
      <c r="G83" s="87">
        <v>478785</v>
      </c>
      <c r="H83" s="87">
        <v>1155</v>
      </c>
      <c r="I83" s="87">
        <v>500000</v>
      </c>
      <c r="J83" s="100"/>
      <c r="K83" s="101">
        <v>109350</v>
      </c>
      <c r="L83" s="101">
        <v>3364247</v>
      </c>
      <c r="M83" s="87">
        <v>117197</v>
      </c>
      <c r="N83" s="87">
        <v>3508487</v>
      </c>
      <c r="O83" s="100"/>
    </row>
    <row r="84" spans="1:15" x14ac:dyDescent="0.35">
      <c r="A84" s="100"/>
      <c r="B84" s="87">
        <v>77</v>
      </c>
      <c r="C84" s="87">
        <v>107</v>
      </c>
      <c r="D84" s="100"/>
      <c r="E84" s="87">
        <v>0</v>
      </c>
      <c r="F84" s="100"/>
      <c r="G84" s="87">
        <v>480065</v>
      </c>
      <c r="H84" s="87">
        <v>1280</v>
      </c>
      <c r="I84" s="87">
        <v>500000</v>
      </c>
      <c r="J84" s="100"/>
      <c r="K84" s="101">
        <v>113024</v>
      </c>
      <c r="L84" s="101">
        <v>3486284</v>
      </c>
      <c r="M84" s="87">
        <v>122037</v>
      </c>
      <c r="N84" s="87">
        <v>3626357</v>
      </c>
      <c r="O84" s="100"/>
    </row>
    <row r="85" spans="1:15" x14ac:dyDescent="0.35">
      <c r="A85" s="100"/>
      <c r="B85" s="87">
        <v>78</v>
      </c>
      <c r="C85" s="87">
        <v>108</v>
      </c>
      <c r="D85" s="100"/>
      <c r="E85" s="87">
        <v>0</v>
      </c>
      <c r="F85" s="100"/>
      <c r="G85" s="87">
        <v>481300</v>
      </c>
      <c r="H85" s="87">
        <v>1235</v>
      </c>
      <c r="I85" s="87">
        <v>500000</v>
      </c>
      <c r="J85" s="100"/>
      <c r="K85" s="101">
        <v>116811</v>
      </c>
      <c r="L85" s="101">
        <v>3612051</v>
      </c>
      <c r="M85" s="87">
        <v>125766</v>
      </c>
      <c r="N85" s="87">
        <v>3747861</v>
      </c>
      <c r="O85" s="100"/>
    </row>
    <row r="86" spans="1:15" x14ac:dyDescent="0.35">
      <c r="A86" s="100"/>
      <c r="B86" s="87">
        <v>79</v>
      </c>
      <c r="C86" s="87">
        <v>109</v>
      </c>
      <c r="D86" s="100"/>
      <c r="E86" s="87">
        <v>0</v>
      </c>
      <c r="F86" s="100"/>
      <c r="G86" s="87">
        <v>482485</v>
      </c>
      <c r="H86" s="87">
        <v>1185</v>
      </c>
      <c r="I86" s="87">
        <v>500000</v>
      </c>
      <c r="J86" s="100"/>
      <c r="K86" s="101">
        <v>120715</v>
      </c>
      <c r="L86" s="101">
        <v>3741653</v>
      </c>
      <c r="M86" s="87">
        <v>129603</v>
      </c>
      <c r="N86" s="87">
        <v>3873114</v>
      </c>
      <c r="O86" s="100"/>
    </row>
    <row r="87" spans="1:15" x14ac:dyDescent="0.35">
      <c r="A87" s="100"/>
      <c r="B87" s="87">
        <v>80</v>
      </c>
      <c r="C87" s="87">
        <v>110</v>
      </c>
      <c r="D87" s="100"/>
      <c r="E87" s="87">
        <v>0</v>
      </c>
      <c r="F87" s="100"/>
      <c r="G87" s="87">
        <v>483620</v>
      </c>
      <c r="H87" s="87">
        <v>1135</v>
      </c>
      <c r="I87" s="87">
        <v>500000</v>
      </c>
      <c r="J87" s="100"/>
      <c r="K87" s="101">
        <v>124739</v>
      </c>
      <c r="L87" s="101">
        <v>3875205</v>
      </c>
      <c r="M87" s="87">
        <v>133552</v>
      </c>
      <c r="N87" s="87">
        <v>4002236</v>
      </c>
      <c r="O87" s="100"/>
    </row>
    <row r="88" spans="1:15" x14ac:dyDescent="0.35">
      <c r="A88" s="100"/>
      <c r="B88" s="87">
        <v>81</v>
      </c>
      <c r="C88" s="87">
        <v>111</v>
      </c>
      <c r="D88" s="100"/>
      <c r="E88" s="87">
        <v>0</v>
      </c>
      <c r="F88" s="100"/>
      <c r="G88" s="87">
        <v>484710</v>
      </c>
      <c r="H88" s="87">
        <v>1090</v>
      </c>
      <c r="I88" s="87">
        <v>500000</v>
      </c>
      <c r="J88" s="100"/>
      <c r="K88" s="101">
        <v>128888</v>
      </c>
      <c r="L88" s="101">
        <v>4012831</v>
      </c>
      <c r="M88" s="87">
        <v>137627</v>
      </c>
      <c r="N88" s="87">
        <v>4135349</v>
      </c>
      <c r="O88" s="100"/>
    </row>
    <row r="89" spans="1:15" x14ac:dyDescent="0.35">
      <c r="A89" s="100"/>
      <c r="B89" s="87">
        <v>82</v>
      </c>
      <c r="C89" s="87">
        <v>112</v>
      </c>
      <c r="D89" s="100"/>
      <c r="E89" s="87">
        <v>0</v>
      </c>
      <c r="F89" s="100"/>
      <c r="G89" s="87">
        <v>485755</v>
      </c>
      <c r="H89" s="87">
        <v>1045</v>
      </c>
      <c r="I89" s="87">
        <v>500000</v>
      </c>
      <c r="J89" s="100"/>
      <c r="K89" s="101">
        <v>133165</v>
      </c>
      <c r="L89" s="101">
        <v>4154656</v>
      </c>
      <c r="M89" s="87">
        <v>141824</v>
      </c>
      <c r="N89" s="87">
        <v>4272579</v>
      </c>
      <c r="O89" s="100"/>
    </row>
    <row r="90" spans="1:15" x14ac:dyDescent="0.35">
      <c r="A90" s="100"/>
      <c r="B90" s="87">
        <v>83</v>
      </c>
      <c r="C90" s="87">
        <v>113</v>
      </c>
      <c r="D90" s="100"/>
      <c r="E90" s="87">
        <v>0</v>
      </c>
      <c r="F90" s="100"/>
      <c r="G90" s="87">
        <v>486760</v>
      </c>
      <c r="H90" s="87">
        <v>1005</v>
      </c>
      <c r="I90" s="87">
        <v>500000</v>
      </c>
      <c r="J90" s="100"/>
      <c r="K90" s="101">
        <v>137575</v>
      </c>
      <c r="L90" s="101">
        <v>4300809</v>
      </c>
      <c r="M90" s="87">
        <v>146153</v>
      </c>
      <c r="N90" s="87">
        <v>4414059</v>
      </c>
      <c r="O90" s="100"/>
    </row>
    <row r="91" spans="1:15" x14ac:dyDescent="0.35">
      <c r="A91" s="100"/>
      <c r="B91" s="87">
        <v>84</v>
      </c>
      <c r="C91" s="87">
        <v>114</v>
      </c>
      <c r="D91" s="100"/>
      <c r="E91" s="87">
        <v>0</v>
      </c>
      <c r="F91" s="100"/>
      <c r="G91" s="87">
        <v>487720</v>
      </c>
      <c r="H91" s="87">
        <v>960</v>
      </c>
      <c r="I91" s="87">
        <v>500000</v>
      </c>
      <c r="J91" s="100"/>
      <c r="K91" s="101">
        <v>142121</v>
      </c>
      <c r="L91" s="101">
        <v>4451419</v>
      </c>
      <c r="M91" s="87">
        <v>150610</v>
      </c>
      <c r="N91" s="87">
        <v>4559922</v>
      </c>
      <c r="O91" s="100"/>
    </row>
    <row r="92" spans="1:15" x14ac:dyDescent="0.35">
      <c r="A92" s="100"/>
      <c r="B92" s="87">
        <v>85</v>
      </c>
      <c r="C92" s="87">
        <v>115</v>
      </c>
      <c r="D92" s="100"/>
      <c r="E92" s="87">
        <v>0</v>
      </c>
      <c r="F92" s="100"/>
      <c r="G92" s="87">
        <v>488640</v>
      </c>
      <c r="H92" s="87">
        <v>920</v>
      </c>
      <c r="I92" s="87">
        <v>500000</v>
      </c>
      <c r="J92" s="100"/>
      <c r="K92" s="101">
        <v>146808</v>
      </c>
      <c r="L92" s="101">
        <v>4606628</v>
      </c>
      <c r="M92" s="87">
        <v>155209</v>
      </c>
      <c r="N92" s="87">
        <v>4710308</v>
      </c>
      <c r="O92" s="100"/>
    </row>
    <row r="93" spans="1:15" x14ac:dyDescent="0.35">
      <c r="A93" s="100"/>
      <c r="B93" s="87">
        <v>86</v>
      </c>
      <c r="C93" s="87">
        <v>116</v>
      </c>
      <c r="D93" s="100"/>
      <c r="E93" s="87">
        <v>0</v>
      </c>
      <c r="F93" s="100"/>
      <c r="G93" s="87">
        <v>489520</v>
      </c>
      <c r="H93" s="87">
        <v>880</v>
      </c>
      <c r="I93" s="87">
        <v>500000</v>
      </c>
      <c r="J93" s="100"/>
      <c r="K93" s="101">
        <v>151640</v>
      </c>
      <c r="L93" s="101">
        <v>4766576</v>
      </c>
      <c r="M93" s="87">
        <v>159947</v>
      </c>
      <c r="N93" s="87">
        <v>4865361</v>
      </c>
      <c r="O93" s="100"/>
    </row>
    <row r="94" spans="1:15" x14ac:dyDescent="0.35">
      <c r="A94" s="100"/>
      <c r="B94" s="87">
        <v>87</v>
      </c>
      <c r="C94" s="87">
        <v>117</v>
      </c>
      <c r="D94" s="100"/>
      <c r="E94" s="87">
        <v>0</v>
      </c>
      <c r="F94" s="100"/>
      <c r="G94" s="87">
        <v>490365</v>
      </c>
      <c r="H94" s="87">
        <v>845</v>
      </c>
      <c r="I94" s="87">
        <v>500000</v>
      </c>
      <c r="J94" s="100"/>
      <c r="K94" s="101">
        <v>156623</v>
      </c>
      <c r="L94" s="101">
        <v>4931414</v>
      </c>
      <c r="M94" s="87">
        <v>164839</v>
      </c>
      <c r="N94" s="87">
        <v>5025230</v>
      </c>
      <c r="O94" s="100"/>
    </row>
    <row r="95" spans="1:15" x14ac:dyDescent="0.35">
      <c r="A95" s="100"/>
      <c r="B95" s="87">
        <v>88</v>
      </c>
      <c r="C95" s="87">
        <v>118</v>
      </c>
      <c r="D95" s="100"/>
      <c r="E95" s="87">
        <v>0</v>
      </c>
      <c r="F95" s="100"/>
      <c r="G95" s="87">
        <v>491170</v>
      </c>
      <c r="H95" s="87">
        <v>805</v>
      </c>
      <c r="I95" s="87">
        <v>500000</v>
      </c>
      <c r="J95" s="100"/>
      <c r="K95" s="101">
        <v>161761</v>
      </c>
      <c r="L95" s="101">
        <v>5101291</v>
      </c>
      <c r="M95" s="87">
        <v>169877</v>
      </c>
      <c r="N95" s="87">
        <v>5190068</v>
      </c>
      <c r="O95" s="100"/>
    </row>
    <row r="96" spans="1:15" x14ac:dyDescent="0.35">
      <c r="A96" s="100"/>
      <c r="B96" s="87">
        <v>89</v>
      </c>
      <c r="C96" s="87">
        <v>119</v>
      </c>
      <c r="D96" s="100"/>
      <c r="E96" s="87">
        <v>0</v>
      </c>
      <c r="F96" s="100"/>
      <c r="G96" s="87">
        <v>491945</v>
      </c>
      <c r="H96" s="87">
        <v>775</v>
      </c>
      <c r="I96" s="87">
        <v>500000</v>
      </c>
      <c r="J96" s="100"/>
      <c r="K96" s="101">
        <v>167058</v>
      </c>
      <c r="L96" s="101">
        <v>5276369</v>
      </c>
      <c r="M96" s="87">
        <v>175079</v>
      </c>
      <c r="N96" s="87">
        <v>5360034</v>
      </c>
      <c r="O96" s="100"/>
    </row>
    <row r="97" spans="1:15" x14ac:dyDescent="0.35">
      <c r="A97" s="100"/>
      <c r="B97" s="87">
        <v>90</v>
      </c>
      <c r="C97" s="87">
        <v>120</v>
      </c>
      <c r="D97" s="100"/>
      <c r="E97" s="87">
        <v>0</v>
      </c>
      <c r="F97" s="100"/>
      <c r="G97" s="87">
        <v>492685</v>
      </c>
      <c r="H97" s="87">
        <v>740</v>
      </c>
      <c r="I97" s="87">
        <v>500000</v>
      </c>
      <c r="J97" s="100"/>
      <c r="K97" s="101">
        <v>172520</v>
      </c>
      <c r="L97" s="101">
        <v>5456809</v>
      </c>
      <c r="M97" s="87">
        <v>180439</v>
      </c>
      <c r="N97" s="87">
        <v>5535290</v>
      </c>
      <c r="O97" s="100"/>
    </row>
    <row r="98" spans="1:15" x14ac:dyDescent="0.35">
      <c r="A98" s="100"/>
      <c r="B98" s="87">
        <v>91</v>
      </c>
      <c r="C98" s="87">
        <v>121</v>
      </c>
      <c r="D98" s="100"/>
      <c r="E98" s="87">
        <v>0</v>
      </c>
      <c r="F98" s="100"/>
      <c r="G98" s="87">
        <v>500000</v>
      </c>
      <c r="H98" s="87">
        <v>7315</v>
      </c>
      <c r="I98" s="87">
        <v>500000</v>
      </c>
      <c r="J98" s="100"/>
      <c r="K98" s="101">
        <v>178153</v>
      </c>
      <c r="L98" s="101">
        <v>5716005</v>
      </c>
      <c r="M98" s="87">
        <v>259196</v>
      </c>
      <c r="N98" s="87">
        <v>5716005</v>
      </c>
      <c r="O98" s="10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0C2B-5CE0-4B65-A6D5-6AE93723EEC7}">
  <sheetPr>
    <tabColor theme="9" tint="0.59999389629810485"/>
    <pageSetUpPr autoPageBreaks="0"/>
  </sheetPr>
  <dimension ref="B1:H24"/>
  <sheetViews>
    <sheetView showGridLines="0" workbookViewId="0">
      <pane ySplit="3" topLeftCell="A4" activePane="bottomLeft" state="frozen"/>
      <selection pane="bottomLeft"/>
    </sheetView>
  </sheetViews>
  <sheetFormatPr defaultColWidth="8.7265625" defaultRowHeight="14.5" x14ac:dyDescent="0.35"/>
  <cols>
    <col min="1" max="1" width="2.81640625" customWidth="1"/>
    <col min="2" max="2" width="28.81640625" bestFit="1" customWidth="1"/>
    <col min="3" max="3" width="15.54296875" customWidth="1"/>
    <col min="4" max="4" width="5.7265625" customWidth="1"/>
    <col min="5" max="5" width="0.54296875" style="43" customWidth="1"/>
    <col min="6" max="6" width="5.7265625" customWidth="1"/>
    <col min="7" max="7" width="29.54296875" bestFit="1" customWidth="1"/>
    <col min="8" max="8" width="15.54296875" customWidth="1"/>
  </cols>
  <sheetData>
    <row r="1" spans="2:8" ht="7.5" customHeight="1" x14ac:dyDescent="0.35"/>
    <row r="2" spans="2:8" x14ac:dyDescent="0.35">
      <c r="B2" s="45" t="s">
        <v>63</v>
      </c>
      <c r="G2" s="45" t="s">
        <v>64</v>
      </c>
    </row>
    <row r="3" spans="2:8" ht="7.5" customHeight="1" x14ac:dyDescent="0.35"/>
    <row r="5" spans="2:8" x14ac:dyDescent="0.35">
      <c r="B5" t="s">
        <v>164</v>
      </c>
      <c r="C5" s="88">
        <v>100000</v>
      </c>
      <c r="G5" t="s">
        <v>164</v>
      </c>
      <c r="H5" s="88">
        <v>100000</v>
      </c>
    </row>
    <row r="6" spans="2:8" x14ac:dyDescent="0.35">
      <c r="B6" t="s">
        <v>165</v>
      </c>
      <c r="C6" s="58">
        <v>0.1</v>
      </c>
      <c r="G6" t="s">
        <v>165</v>
      </c>
      <c r="H6" s="58">
        <v>0.2</v>
      </c>
    </row>
    <row r="7" spans="2:8" x14ac:dyDescent="0.35">
      <c r="B7" t="s">
        <v>166</v>
      </c>
      <c r="C7" s="88">
        <v>10000</v>
      </c>
      <c r="G7" t="s">
        <v>166</v>
      </c>
      <c r="H7" s="88">
        <v>10000</v>
      </c>
    </row>
    <row r="9" spans="2:8" x14ac:dyDescent="0.35">
      <c r="B9" s="48" t="s">
        <v>167</v>
      </c>
      <c r="G9" s="48" t="s">
        <v>167</v>
      </c>
    </row>
    <row r="10" spans="2:8" x14ac:dyDescent="0.35">
      <c r="B10" s="120" t="s">
        <v>165</v>
      </c>
      <c r="C10" s="86">
        <f>+C5*C6</f>
        <v>10000</v>
      </c>
      <c r="G10" s="120" t="s">
        <v>165</v>
      </c>
      <c r="H10" s="86">
        <f>+H5*H6</f>
        <v>20000</v>
      </c>
    </row>
    <row r="11" spans="2:8" x14ac:dyDescent="0.35">
      <c r="B11" s="120" t="s">
        <v>166</v>
      </c>
      <c r="C11" s="86">
        <f>C7</f>
        <v>10000</v>
      </c>
      <c r="G11" s="121" t="s">
        <v>166</v>
      </c>
      <c r="H11" s="122">
        <f>H7</f>
        <v>10000</v>
      </c>
    </row>
    <row r="12" spans="2:8" x14ac:dyDescent="0.35">
      <c r="B12" s="121" t="s">
        <v>168</v>
      </c>
      <c r="C12" s="122">
        <v>50000</v>
      </c>
      <c r="G12" s="48" t="s">
        <v>48</v>
      </c>
      <c r="H12" s="123">
        <f>SUM(H10:H11)</f>
        <v>30000</v>
      </c>
    </row>
    <row r="13" spans="2:8" x14ac:dyDescent="0.35">
      <c r="B13" s="48" t="s">
        <v>48</v>
      </c>
      <c r="C13" s="123">
        <f>SUM(C10:C12)</f>
        <v>70000</v>
      </c>
    </row>
    <row r="14" spans="2:8" x14ac:dyDescent="0.35">
      <c r="G14" t="s">
        <v>169</v>
      </c>
      <c r="H14" s="86">
        <v>2000</v>
      </c>
    </row>
    <row r="15" spans="2:8" x14ac:dyDescent="0.35">
      <c r="B15" t="s">
        <v>170</v>
      </c>
      <c r="C15" s="86">
        <v>200000</v>
      </c>
      <c r="G15" s="64" t="s">
        <v>71</v>
      </c>
      <c r="H15" s="122">
        <v>1500</v>
      </c>
    </row>
    <row r="16" spans="2:8" x14ac:dyDescent="0.35">
      <c r="B16" t="s">
        <v>171</v>
      </c>
      <c r="C16" s="86">
        <f>-C5</f>
        <v>-100000</v>
      </c>
      <c r="G16" s="48" t="s">
        <v>172</v>
      </c>
      <c r="H16" s="123">
        <f>H14-H15</f>
        <v>500</v>
      </c>
    </row>
    <row r="17" spans="2:8" x14ac:dyDescent="0.35">
      <c r="B17" s="64" t="s">
        <v>167</v>
      </c>
      <c r="C17" s="122">
        <f>-C13</f>
        <v>-70000</v>
      </c>
    </row>
    <row r="18" spans="2:8" x14ac:dyDescent="0.35">
      <c r="B18" s="48" t="s">
        <v>26</v>
      </c>
      <c r="C18" s="123">
        <f>SUM(C15:C17)</f>
        <v>30000</v>
      </c>
      <c r="G18" t="s">
        <v>172</v>
      </c>
      <c r="H18" s="86">
        <f>H16</f>
        <v>500</v>
      </c>
    </row>
    <row r="19" spans="2:8" x14ac:dyDescent="0.35">
      <c r="G19" s="64" t="s">
        <v>173</v>
      </c>
      <c r="H19" s="70">
        <v>12</v>
      </c>
    </row>
    <row r="20" spans="2:8" x14ac:dyDescent="0.35">
      <c r="G20" s="48" t="s">
        <v>174</v>
      </c>
      <c r="H20" s="123">
        <f>H18*H19</f>
        <v>6000</v>
      </c>
    </row>
    <row r="22" spans="2:8" x14ac:dyDescent="0.35">
      <c r="G22" t="s">
        <v>174</v>
      </c>
      <c r="H22" s="86">
        <f>+H20</f>
        <v>6000</v>
      </c>
    </row>
    <row r="23" spans="2:8" x14ac:dyDescent="0.35">
      <c r="G23" s="64" t="s">
        <v>175</v>
      </c>
      <c r="H23" s="122">
        <v>5000</v>
      </c>
    </row>
    <row r="24" spans="2:8" x14ac:dyDescent="0.35">
      <c r="G24" s="48" t="s">
        <v>176</v>
      </c>
      <c r="H24" s="123">
        <f>H22-H23</f>
        <v>1000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14268-C300-48AF-AF60-197C468F3F11}">
  <sheetPr>
    <tabColor theme="3" tint="0.249977111117893"/>
    <pageSetUpPr autoPageBreaks="0"/>
  </sheetPr>
  <dimension ref="A1"/>
  <sheetViews>
    <sheetView showGridLines="0" view="pageBreakPreview" zoomScale="60" zoomScaleNormal="100" workbookViewId="0"/>
  </sheetViews>
  <sheetFormatPr defaultColWidth="8.7265625" defaultRowHeight="14.5" x14ac:dyDescent="0.35"/>
  <cols>
    <col min="1" max="16384" width="8.7265625" style="124"/>
  </cols>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Calculations&gt;&gt;&gt;</vt:lpstr>
      <vt:lpstr># 1</vt:lpstr>
      <vt:lpstr># 3</vt:lpstr>
      <vt:lpstr># 4</vt:lpstr>
      <vt:lpstr># 5</vt:lpstr>
      <vt:lpstr># 6</vt:lpstr>
      <vt:lpstr># 8</vt:lpstr>
      <vt:lpstr># 9</vt:lpstr>
      <vt:lpstr>Tables &amp; Charts&gt;&gt;&gt;</vt:lpstr>
      <vt:lpstr>#  5</vt:lpstr>
      <vt:lpstr>2024 Tax Brackets</vt:lpstr>
      <vt:lpstr>Mapping</vt:lpstr>
      <vt:lpstr>'#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Greenfield</dc:creator>
  <cp:lastModifiedBy>Anthony Greenfield</cp:lastModifiedBy>
  <dcterms:created xsi:type="dcterms:W3CDTF">2024-09-07T01:21:28Z</dcterms:created>
  <dcterms:modified xsi:type="dcterms:W3CDTF">2024-09-07T01:22:58Z</dcterms:modified>
</cp:coreProperties>
</file>